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6.xml" ContentType="application/vnd.openxmlformats-officedocument.spreadsheetml.comments+xml"/>
  <Override PartName="/xl/drawings/drawing16.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defaultThemeVersion="153222"/>
  <mc:AlternateContent xmlns:mc="http://schemas.openxmlformats.org/markup-compatibility/2006">
    <mc:Choice Requires="x15">
      <x15ac:absPath xmlns:x15ac="http://schemas.microsoft.com/office/spreadsheetml/2010/11/ac" url="C:\Users\maparra\Documents\Contraloría\2025\Formatos ajustados\Financiera\"/>
    </mc:Choice>
  </mc:AlternateContent>
  <bookViews>
    <workbookView xWindow="0" yWindow="0" windowWidth="20490" windowHeight="7155" tabRatio="740" activeTab="3"/>
  </bookViews>
  <sheets>
    <sheet name="LISTAS" sheetId="6" r:id="rId1"/>
    <sheet name="FENECIMIENTO CUENTA" sheetId="23" state="hidden" r:id="rId2"/>
    <sheet name="LISTAS PPTO" sheetId="15" state="hidden" r:id="rId3"/>
    <sheet name="FENECIMIENTO" sheetId="24" r:id="rId4"/>
    <sheet name="ANALÍTICA ESTADO SITUACIÓN F" sheetId="7" r:id="rId5"/>
    <sheet name="ANALÍTICA ESTADO DE RESULTAD" sheetId="8" r:id="rId6"/>
    <sheet name="MATERIALIDAD FINANCIERA" sheetId="9" r:id="rId7"/>
    <sheet name="HALLAZGOS OPINIÓN_FIN" sheetId="12" r:id="rId8"/>
    <sheet name="HALLAZGOS OPINIÓN_FIN Otros" sheetId="27" r:id="rId9"/>
    <sheet name="DESEMPEÑO FINANCIERO" sheetId="13" r:id="rId10"/>
    <sheet name="ANALÍTICA PRESUPUESTAL" sheetId="19" r:id="rId11"/>
    <sheet name="MATERIALIDAD PRESUPUESTAL" sheetId="10" r:id="rId12"/>
    <sheet name="HALLAZGOS CONCEPTO_PRES" sheetId="14" r:id="rId13"/>
    <sheet name="PLANES Y PROYECTOS" sheetId="11" r:id="rId14"/>
    <sheet name="PLAN ESTRATÉGICO" sheetId="17" r:id="rId15"/>
    <sheet name="ANALÍTICAS GASTO PÚBLICO" sheetId="5" r:id="rId16"/>
    <sheet name="MATERIALIDAD GASTO PÚBLICO" sheetId="3" r:id="rId17"/>
    <sheet name="CALIFICACIÓN GASTO PÚBLICO" sheetId="26" r:id="rId18"/>
    <sheet name="Lista consolidado macro" sheetId="20" state="hidden" r:id="rId19"/>
  </sheets>
  <externalReferences>
    <externalReference r:id="rId20"/>
    <externalReference r:id="rId21"/>
    <externalReference r:id="rId22"/>
    <externalReference r:id="rId23"/>
    <externalReference r:id="rId24"/>
  </externalReferences>
  <definedNames>
    <definedName name="_ECONOMIA_CONTRATACION">'CALIFICACIÓN GASTO PÚBLICO'!$CZ$77</definedName>
    <definedName name="_EFICACIA_CONTRATACION">'CALIFICACIÓN GASTO PÚBLICO'!$CZ$76</definedName>
    <definedName name="_EFICIENCIA_CONTRATACION">'CALIFICACIÓN GASTO PÚBLICO'!$CZ$78</definedName>
    <definedName name="Base">'MATERIALIDAD GASTO PÚBLICO'!$I$2:$I$13</definedName>
    <definedName name="BaseSeleccionada" localSheetId="8">'MATERIALIDAD GASTO PÚBLICO'!#REF!</definedName>
    <definedName name="BaseSeleccionada">'MATERIALIDAD GASTO PÚBLICO'!#REF!</definedName>
    <definedName name="entidades" localSheetId="8">#REF!</definedName>
    <definedName name="entidades">#REF!</definedName>
    <definedName name="ETAP" localSheetId="17">'[1]CALIFICACION GASTO PUBLICO'!$A$65518:$A$65524</definedName>
    <definedName name="HALLAZGOS" localSheetId="17">'CALIFICACIÓN GASTO PÚBLICO'!$F$102:$F$110</definedName>
    <definedName name="INSTRUCTIVO_CALIFICACIÓN_DEL_GASTO_PÚBLICO" localSheetId="8">#REF!</definedName>
    <definedName name="INSTRUCTIVO_CALIFICACIÓN_DEL_GASTO_PÚBLICO">#REF!</definedName>
    <definedName name="Moneda" localSheetId="3">#REF!</definedName>
    <definedName name="Moneda" localSheetId="8">#REF!</definedName>
    <definedName name="Moneda">#REF!</definedName>
    <definedName name="Montbase">'[2]3. MATERIALIDAD FINANCIERA'!$E$49</definedName>
    <definedName name="Muestra_Min">'MATERIALIDAD GASTO PÚBLICO'!$F$30</definedName>
    <definedName name="Parametro_Min">'MATERIALIDAD GASTO PÚBLICO'!$C$30</definedName>
    <definedName name="ParaminAlta">'MATERIALIDAD GASTO PÚBLICO'!$O$74</definedName>
    <definedName name="ParaminBaja">'MATERIALIDAD GASTO PÚBLICO'!$O$72</definedName>
    <definedName name="ParaminMedia">'MATERIALIDAD GASTO PÚBLICO'!$O$73</definedName>
    <definedName name="Principios" localSheetId="8">#REF!</definedName>
    <definedName name="Principios">#REF!</definedName>
    <definedName name="Riesgo">'MATERIALIDAD GASTO PÚBLICO'!$B$24</definedName>
    <definedName name="Riesgo_de_Control" localSheetId="3">#REF!</definedName>
    <definedName name="Riesgo_de_Control" localSheetId="8">#REF!</definedName>
    <definedName name="Riesgo_de_Control">#REF!</definedName>
    <definedName name="Situacionf">'[2]1. ANALÍTICA ESTADO SITUACIÓN F'!$B$124:$B$127</definedName>
    <definedName name="SUMA_MUESTRA" localSheetId="8">#REF!</definedName>
    <definedName name="SUMA_MUESTRA">#REF!</definedName>
    <definedName name="TablaProcesos52">[2]!TablaProcesos5[#Data]</definedName>
    <definedName name="ValorUniverso">'MATERIALIDAD GASTO PÚBLICO'!$D$19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7" i="27" l="1"/>
  <c r="G68" i="12"/>
  <c r="G69" i="12"/>
  <c r="G70" i="12"/>
  <c r="G71" i="12"/>
  <c r="G72" i="12"/>
  <c r="G73" i="12"/>
  <c r="G74" i="12"/>
  <c r="G75" i="12"/>
  <c r="G76" i="12"/>
  <c r="G77" i="12"/>
  <c r="G78" i="12"/>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25" i="27"/>
  <c r="G26" i="27"/>
  <c r="G27" i="27"/>
  <c r="G28" i="27"/>
  <c r="G29" i="27"/>
  <c r="G30" i="27"/>
  <c r="G31" i="27"/>
  <c r="G32" i="27"/>
  <c r="G33" i="27"/>
  <c r="G34" i="27"/>
  <c r="G35" i="27"/>
  <c r="G36" i="27"/>
  <c r="G37" i="27"/>
  <c r="G38" i="27"/>
  <c r="G39" i="27"/>
  <c r="G40" i="27"/>
  <c r="G41" i="27"/>
  <c r="G42" i="27"/>
  <c r="G43" i="27"/>
  <c r="G44" i="27"/>
  <c r="G45" i="27"/>
  <c r="S25" i="11" l="1"/>
  <c r="P25" i="11"/>
  <c r="M25" i="11"/>
  <c r="J25" i="11"/>
  <c r="E58" i="9"/>
  <c r="V25" i="11" l="1"/>
  <c r="H12" i="17" l="1"/>
  <c r="E14" i="24"/>
  <c r="E12" i="24"/>
  <c r="F66" i="7" l="1"/>
  <c r="C34" i="10"/>
  <c r="L34" i="17"/>
  <c r="L45" i="17"/>
  <c r="L29" i="17"/>
  <c r="L30" i="17"/>
  <c r="L28" i="17"/>
  <c r="L33" i="17"/>
  <c r="L35" i="17"/>
  <c r="L36" i="17"/>
  <c r="L37" i="17"/>
  <c r="L38" i="17"/>
  <c r="L39" i="17"/>
  <c r="L40" i="17"/>
  <c r="L41" i="17"/>
  <c r="L42" i="17"/>
  <c r="L43" i="17"/>
  <c r="L44" i="17"/>
  <c r="L46" i="17"/>
  <c r="L47" i="17"/>
  <c r="L48" i="17"/>
  <c r="L49" i="17"/>
  <c r="L50" i="17"/>
  <c r="L51" i="17"/>
  <c r="L52" i="17"/>
  <c r="L32" i="17"/>
  <c r="P18" i="11"/>
  <c r="S26" i="11" l="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306" i="11"/>
  <c r="S307" i="11"/>
  <c r="S308" i="11"/>
  <c r="S309" i="11"/>
  <c r="S310" i="11"/>
  <c r="S311" i="11"/>
  <c r="S312" i="11"/>
  <c r="S313" i="11"/>
  <c r="S314" i="11"/>
  <c r="S315" i="11"/>
  <c r="S316" i="11"/>
  <c r="S317" i="11"/>
  <c r="S318" i="11"/>
  <c r="S319" i="11"/>
  <c r="S320" i="11"/>
  <c r="S321" i="11"/>
  <c r="S322" i="11"/>
  <c r="S323" i="11"/>
  <c r="S324" i="11"/>
  <c r="S325" i="11"/>
  <c r="S326" i="11"/>
  <c r="S327" i="11"/>
  <c r="S328" i="11"/>
  <c r="S329" i="11"/>
  <c r="S330" i="11"/>
  <c r="S331" i="11"/>
  <c r="S332" i="11"/>
  <c r="S333" i="11"/>
  <c r="S334" i="11"/>
  <c r="S335" i="11"/>
  <c r="S336" i="11"/>
  <c r="S337" i="11"/>
  <c r="S338" i="11"/>
  <c r="S339" i="11"/>
  <c r="S340" i="11"/>
  <c r="S341" i="11"/>
  <c r="S342" i="11"/>
  <c r="S343" i="11"/>
  <c r="S344" i="11"/>
  <c r="S345" i="11"/>
  <c r="S346" i="11"/>
  <c r="S347" i="11"/>
  <c r="S348" i="11"/>
  <c r="S349" i="11"/>
  <c r="S350" i="11"/>
  <c r="S351" i="11"/>
  <c r="S352" i="11"/>
  <c r="S353" i="11"/>
  <c r="S354" i="11"/>
  <c r="S355" i="11"/>
  <c r="S356" i="11"/>
  <c r="S357" i="11"/>
  <c r="S358" i="11"/>
  <c r="S359" i="11"/>
  <c r="S360" i="11"/>
  <c r="S361" i="11"/>
  <c r="S362" i="11"/>
  <c r="S363" i="11"/>
  <c r="S364" i="11"/>
  <c r="S365" i="11"/>
  <c r="S366" i="11"/>
  <c r="S367" i="11"/>
  <c r="S368" i="11"/>
  <c r="S369" i="11"/>
  <c r="S370" i="11"/>
  <c r="S371" i="11"/>
  <c r="S372" i="11"/>
  <c r="S373" i="11"/>
  <c r="S374" i="11"/>
  <c r="S375" i="11"/>
  <c r="S376" i="11"/>
  <c r="S377" i="11"/>
  <c r="S378" i="11"/>
  <c r="S379" i="11"/>
  <c r="S380" i="11"/>
  <c r="S381" i="11"/>
  <c r="S382" i="11"/>
  <c r="S383" i="11"/>
  <c r="S384" i="11"/>
  <c r="S385" i="11"/>
  <c r="S386" i="11"/>
  <c r="S387" i="11"/>
  <c r="S388" i="11"/>
  <c r="S389" i="11"/>
  <c r="S390" i="11"/>
  <c r="S391" i="11"/>
  <c r="S392" i="11"/>
  <c r="S393" i="11"/>
  <c r="S394" i="11"/>
  <c r="S395" i="11"/>
  <c r="S396" i="11"/>
  <c r="S397" i="11"/>
  <c r="S398" i="11"/>
  <c r="S399" i="11"/>
  <c r="S400" i="11"/>
  <c r="S401" i="11"/>
  <c r="S402" i="11"/>
  <c r="S403" i="11"/>
  <c r="S404" i="11"/>
  <c r="S405" i="11"/>
  <c r="S406" i="11"/>
  <c r="S407" i="11"/>
  <c r="S408" i="11"/>
  <c r="S409" i="11"/>
  <c r="S410" i="11"/>
  <c r="S411" i="11"/>
  <c r="S412" i="11"/>
  <c r="S413" i="11"/>
  <c r="S414" i="11"/>
  <c r="S415" i="11"/>
  <c r="S416" i="11"/>
  <c r="S417" i="11"/>
  <c r="S418" i="11"/>
  <c r="S419" i="11"/>
  <c r="S420" i="11"/>
  <c r="S421" i="11"/>
  <c r="S422" i="11"/>
  <c r="S423" i="11"/>
  <c r="S424" i="11"/>
  <c r="S425" i="11"/>
  <c r="S426" i="11"/>
  <c r="S427" i="11"/>
  <c r="S428" i="11"/>
  <c r="S429" i="11"/>
  <c r="S430" i="11"/>
  <c r="S431" i="11"/>
  <c r="S432" i="11"/>
  <c r="S433" i="11"/>
  <c r="S434" i="11"/>
  <c r="S435" i="11"/>
  <c r="S436" i="11"/>
  <c r="S437" i="11"/>
  <c r="S438" i="11"/>
  <c r="S439" i="11"/>
  <c r="S440" i="11"/>
  <c r="S441" i="11"/>
  <c r="S442" i="11"/>
  <c r="S443" i="11"/>
  <c r="S444" i="11"/>
  <c r="S445" i="11"/>
  <c r="S446" i="11"/>
  <c r="S447" i="11"/>
  <c r="S448" i="11"/>
  <c r="S449" i="11"/>
  <c r="S450" i="11"/>
  <c r="V26" i="11" l="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G19" i="24" l="1"/>
  <c r="G21" i="24"/>
  <c r="E16" i="24"/>
  <c r="C9" i="14"/>
  <c r="B9" i="10"/>
  <c r="H22" i="9"/>
  <c r="F22" i="9"/>
  <c r="D22" i="9"/>
  <c r="B22" i="9"/>
  <c r="G12" i="24" l="1"/>
  <c r="G16" i="24"/>
  <c r="H16" i="24" s="1"/>
  <c r="K41" i="24"/>
  <c r="O12" i="24"/>
  <c r="L12" i="24"/>
  <c r="L14" i="24"/>
  <c r="E15" i="27" l="1"/>
  <c r="E14" i="27"/>
  <c r="E13" i="27"/>
  <c r="E12" i="27"/>
  <c r="C13" i="27" a="1"/>
  <c r="C13" i="27"/>
  <c r="C12" i="27" a="1"/>
  <c r="C12" i="27" s="1"/>
  <c r="I83" i="12"/>
  <c r="I84" i="12"/>
  <c r="I85" i="12"/>
  <c r="I86" i="12"/>
  <c r="I87" i="12"/>
  <c r="I88" i="12"/>
  <c r="I89" i="12"/>
  <c r="I90" i="12"/>
  <c r="I91" i="12"/>
  <c r="I92" i="12"/>
  <c r="I93" i="12"/>
  <c r="I94" i="12"/>
  <c r="I95" i="12"/>
  <c r="I96" i="12"/>
  <c r="I97" i="12"/>
  <c r="G83" i="12"/>
  <c r="G84" i="12"/>
  <c r="G85" i="12"/>
  <c r="G86" i="12"/>
  <c r="G87" i="12"/>
  <c r="G88" i="12"/>
  <c r="G89" i="12"/>
  <c r="G90" i="12"/>
  <c r="G91" i="12"/>
  <c r="G92" i="12"/>
  <c r="G93" i="12"/>
  <c r="G94" i="12"/>
  <c r="G95" i="12"/>
  <c r="G96" i="12"/>
  <c r="G97" i="12"/>
  <c r="G98" i="12"/>
  <c r="G99" i="12"/>
  <c r="G100" i="12"/>
  <c r="G101" i="12"/>
  <c r="E15" i="12"/>
  <c r="E14" i="12"/>
  <c r="E13" i="12"/>
  <c r="E12" i="12"/>
  <c r="C13" i="12" a="1"/>
  <c r="C13" i="12" s="1"/>
  <c r="C12" i="12" a="1"/>
  <c r="C12" i="12" s="1"/>
  <c r="H15" i="17"/>
  <c r="L26" i="17"/>
  <c r="L27" i="17"/>
  <c r="G13" i="17"/>
  <c r="H14" i="17"/>
  <c r="G15" i="17"/>
  <c r="G14" i="17"/>
  <c r="H13" i="17"/>
  <c r="D45" i="10"/>
  <c r="D46" i="10"/>
  <c r="D47" i="10"/>
  <c r="D48" i="10"/>
  <c r="D49" i="10"/>
  <c r="D44" i="10"/>
  <c r="D12" i="12" l="1"/>
  <c r="X15" i="24" l="1"/>
  <c r="I83" i="27" l="1"/>
  <c r="I84" i="27"/>
  <c r="I85" i="27"/>
  <c r="I86" i="27"/>
  <c r="I87" i="27"/>
  <c r="I88" i="27"/>
  <c r="I89" i="27"/>
  <c r="I90" i="27"/>
  <c r="I91" i="27"/>
  <c r="I92" i="27"/>
  <c r="I93" i="27"/>
  <c r="I94" i="27"/>
  <c r="I95" i="27"/>
  <c r="I96" i="27"/>
  <c r="I97" i="27"/>
  <c r="G83" i="27"/>
  <c r="G84" i="27"/>
  <c r="G85" i="27"/>
  <c r="G86" i="27"/>
  <c r="G87" i="27"/>
  <c r="G88" i="27"/>
  <c r="G89" i="27"/>
  <c r="G90" i="27"/>
  <c r="G91" i="27"/>
  <c r="G92" i="27"/>
  <c r="G93" i="27"/>
  <c r="G94" i="27"/>
  <c r="G95" i="27"/>
  <c r="G96" i="27"/>
  <c r="G97" i="27"/>
  <c r="G98" i="27"/>
  <c r="G99" i="27"/>
  <c r="G100" i="27"/>
  <c r="G101" i="27"/>
  <c r="B12" i="12" l="1"/>
  <c r="S14" i="24" l="1"/>
  <c r="C97" i="27"/>
  <c r="E57" i="27" l="1"/>
  <c r="L43" i="24" l="1"/>
  <c r="H42" i="24"/>
  <c r="E41" i="24"/>
  <c r="E79" i="27" l="1"/>
  <c r="F150" i="12"/>
  <c r="B5" i="27"/>
  <c r="H122" i="27"/>
  <c r="F122" i="27"/>
  <c r="E122" i="27"/>
  <c r="D122" i="27"/>
  <c r="D13" i="27" s="1"/>
  <c r="G121" i="27"/>
  <c r="I121" i="27" s="1"/>
  <c r="G120" i="27"/>
  <c r="I120" i="27" s="1"/>
  <c r="G119" i="27"/>
  <c r="I119" i="27" s="1"/>
  <c r="G118" i="27"/>
  <c r="I118" i="27" s="1"/>
  <c r="G117" i="27"/>
  <c r="I117" i="27" s="1"/>
  <c r="G116" i="27"/>
  <c r="I116" i="27" s="1"/>
  <c r="G115" i="27"/>
  <c r="I115" i="27" s="1"/>
  <c r="G114" i="27"/>
  <c r="I114" i="27" s="1"/>
  <c r="G113" i="27"/>
  <c r="I113" i="27" s="1"/>
  <c r="G112" i="27"/>
  <c r="I112" i="27" s="1"/>
  <c r="G111" i="27"/>
  <c r="I111" i="27" s="1"/>
  <c r="G110" i="27"/>
  <c r="I110" i="27" s="1"/>
  <c r="G109" i="27"/>
  <c r="I109" i="27" s="1"/>
  <c r="G108" i="27"/>
  <c r="I108" i="27" s="1"/>
  <c r="G107" i="27"/>
  <c r="I107" i="27" s="1"/>
  <c r="G106" i="27"/>
  <c r="I106" i="27" s="1"/>
  <c r="G105" i="27"/>
  <c r="I105" i="27" s="1"/>
  <c r="G104" i="27"/>
  <c r="I104" i="27" s="1"/>
  <c r="G103" i="27"/>
  <c r="I103" i="27" s="1"/>
  <c r="G102" i="27"/>
  <c r="I102" i="27" s="1"/>
  <c r="I101" i="27"/>
  <c r="I100" i="27"/>
  <c r="I99" i="27"/>
  <c r="I98" i="27"/>
  <c r="H79" i="27"/>
  <c r="H80" i="27" s="1"/>
  <c r="F79" i="27"/>
  <c r="D79" i="27"/>
  <c r="I78" i="27"/>
  <c r="I77" i="27"/>
  <c r="I76" i="27"/>
  <c r="I75" i="27"/>
  <c r="I74" i="27"/>
  <c r="I73" i="27"/>
  <c r="I72" i="27"/>
  <c r="I71" i="27"/>
  <c r="I70" i="27"/>
  <c r="I69" i="27"/>
  <c r="I68" i="27"/>
  <c r="I67" i="27"/>
  <c r="I66" i="27"/>
  <c r="I65" i="27"/>
  <c r="I64" i="27"/>
  <c r="I63" i="27"/>
  <c r="I62" i="27"/>
  <c r="I61" i="27"/>
  <c r="I60" i="27"/>
  <c r="I59" i="27"/>
  <c r="I58"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G24" i="27"/>
  <c r="I24" i="27" s="1"/>
  <c r="C79" i="27"/>
  <c r="E6" i="27"/>
  <c r="B6" i="27"/>
  <c r="E5" i="27"/>
  <c r="C101" i="8"/>
  <c r="C102" i="8" s="1"/>
  <c r="H102" i="8" s="1"/>
  <c r="C100" i="8"/>
  <c r="H100" i="8" s="1"/>
  <c r="H99" i="8"/>
  <c r="F99" i="8"/>
  <c r="E99" i="8"/>
  <c r="H98" i="8"/>
  <c r="F98" i="8"/>
  <c r="E98" i="8"/>
  <c r="H97" i="8"/>
  <c r="F97" i="8"/>
  <c r="E97" i="8"/>
  <c r="H96" i="8"/>
  <c r="F96" i="8"/>
  <c r="E96" i="8"/>
  <c r="H95" i="8"/>
  <c r="F95" i="8"/>
  <c r="E95" i="8"/>
  <c r="H94" i="8"/>
  <c r="F94" i="8"/>
  <c r="E94" i="8"/>
  <c r="H93" i="8"/>
  <c r="F93" i="8"/>
  <c r="E93" i="8"/>
  <c r="H92" i="8"/>
  <c r="F92" i="8"/>
  <c r="E92" i="8"/>
  <c r="H91" i="8"/>
  <c r="F91" i="8"/>
  <c r="E91" i="8"/>
  <c r="H90" i="8"/>
  <c r="F90" i="8"/>
  <c r="E90" i="8"/>
  <c r="H89" i="8"/>
  <c r="F89" i="8"/>
  <c r="E89" i="8"/>
  <c r="H88" i="8"/>
  <c r="F88" i="8"/>
  <c r="E88" i="8"/>
  <c r="H87" i="8"/>
  <c r="F87" i="8"/>
  <c r="E87" i="8"/>
  <c r="H86" i="8"/>
  <c r="F86" i="8"/>
  <c r="E86" i="8"/>
  <c r="H85" i="8"/>
  <c r="F85" i="8"/>
  <c r="E85" i="8"/>
  <c r="H84" i="8"/>
  <c r="F84" i="8"/>
  <c r="E84" i="8"/>
  <c r="H83" i="8"/>
  <c r="E83" i="8"/>
  <c r="H82" i="8"/>
  <c r="E82" i="8"/>
  <c r="H81" i="8"/>
  <c r="E81" i="8"/>
  <c r="H80" i="8"/>
  <c r="F80" i="8"/>
  <c r="E80" i="8"/>
  <c r="H79" i="8"/>
  <c r="F79" i="8"/>
  <c r="E79" i="8"/>
  <c r="H78" i="8"/>
  <c r="F78" i="8"/>
  <c r="E78" i="8"/>
  <c r="H77" i="8"/>
  <c r="F77" i="8"/>
  <c r="E77" i="8"/>
  <c r="H76" i="8"/>
  <c r="F76" i="8"/>
  <c r="E76" i="8"/>
  <c r="H75" i="8"/>
  <c r="F75" i="8"/>
  <c r="E75" i="8"/>
  <c r="H74" i="8"/>
  <c r="F74" i="8"/>
  <c r="E74" i="8"/>
  <c r="K73" i="8"/>
  <c r="H73" i="8"/>
  <c r="F73" i="8"/>
  <c r="E73" i="8"/>
  <c r="K72" i="8"/>
  <c r="H72" i="8"/>
  <c r="F72" i="8"/>
  <c r="E72" i="8"/>
  <c r="H71" i="8"/>
  <c r="F71" i="8"/>
  <c r="E71" i="8"/>
  <c r="H70" i="8"/>
  <c r="F70" i="8"/>
  <c r="E70" i="8"/>
  <c r="F172" i="7"/>
  <c r="E172" i="7"/>
  <c r="F171" i="7"/>
  <c r="E171" i="7"/>
  <c r="F170" i="7"/>
  <c r="E170" i="7"/>
  <c r="F169" i="7"/>
  <c r="E169" i="7"/>
  <c r="F168" i="7"/>
  <c r="E168" i="7"/>
  <c r="F167" i="7"/>
  <c r="E167" i="7"/>
  <c r="C165" i="7"/>
  <c r="C166" i="7" s="1"/>
  <c r="C164" i="7"/>
  <c r="F162" i="7"/>
  <c r="J162" i="7" s="1"/>
  <c r="E162" i="7"/>
  <c r="F161" i="7"/>
  <c r="E161" i="7"/>
  <c r="D160" i="7"/>
  <c r="D163" i="7" s="1"/>
  <c r="C160" i="7"/>
  <c r="F159" i="7"/>
  <c r="E159" i="7"/>
  <c r="F158" i="7"/>
  <c r="J158" i="7" s="1"/>
  <c r="E158" i="7"/>
  <c r="F157" i="7"/>
  <c r="E157" i="7"/>
  <c r="F156" i="7"/>
  <c r="E156" i="7"/>
  <c r="F155" i="7"/>
  <c r="J155" i="7" s="1"/>
  <c r="E155" i="7"/>
  <c r="F154" i="7"/>
  <c r="E154" i="7"/>
  <c r="F153" i="7"/>
  <c r="E153" i="7"/>
  <c r="F152" i="7"/>
  <c r="E152" i="7"/>
  <c r="F151" i="7"/>
  <c r="J151" i="7" s="1"/>
  <c r="E151" i="7"/>
  <c r="E150" i="7"/>
  <c r="F149" i="7"/>
  <c r="E149" i="7"/>
  <c r="F148" i="7"/>
  <c r="E148" i="7"/>
  <c r="F147" i="7"/>
  <c r="E147" i="7"/>
  <c r="F146" i="7"/>
  <c r="E146" i="7"/>
  <c r="F145" i="7"/>
  <c r="J145" i="7" s="1"/>
  <c r="E145" i="7"/>
  <c r="D144" i="7"/>
  <c r="E143" i="7"/>
  <c r="F142" i="7"/>
  <c r="E142" i="7"/>
  <c r="F141" i="7"/>
  <c r="E141" i="7"/>
  <c r="F140" i="7"/>
  <c r="E140" i="7"/>
  <c r="F139" i="7"/>
  <c r="E139" i="7"/>
  <c r="C138" i="7"/>
  <c r="E138" i="7" s="1"/>
  <c r="F137" i="7"/>
  <c r="E137" i="7"/>
  <c r="C136" i="7"/>
  <c r="F135" i="7"/>
  <c r="J135" i="7" s="1"/>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J119" i="7" s="1"/>
  <c r="E119" i="7"/>
  <c r="F118" i="7"/>
  <c r="E118" i="7"/>
  <c r="F117" i="7"/>
  <c r="E117" i="7"/>
  <c r="F116" i="7"/>
  <c r="E116" i="7"/>
  <c r="F115" i="7"/>
  <c r="E115" i="7"/>
  <c r="F114" i="7"/>
  <c r="E114" i="7"/>
  <c r="C113" i="7"/>
  <c r="F112" i="7"/>
  <c r="E112" i="7"/>
  <c r="F111" i="7"/>
  <c r="E111" i="7"/>
  <c r="F110" i="7"/>
  <c r="E110" i="7"/>
  <c r="C110" i="7"/>
  <c r="F109" i="7"/>
  <c r="E109" i="7"/>
  <c r="F108" i="7"/>
  <c r="J108" i="7" s="1"/>
  <c r="E108" i="7"/>
  <c r="F107" i="7"/>
  <c r="E107" i="7"/>
  <c r="F106" i="7"/>
  <c r="J106" i="7" s="1"/>
  <c r="E106" i="7"/>
  <c r="F105" i="7"/>
  <c r="J105" i="7" s="1"/>
  <c r="E105" i="7"/>
  <c r="D12" i="27" l="1"/>
  <c r="I79" i="27"/>
  <c r="I80" i="27" s="1"/>
  <c r="I122" i="27"/>
  <c r="B12" i="27"/>
  <c r="O13" i="24" s="1"/>
  <c r="O14" i="24" s="1"/>
  <c r="R12" i="24" s="1"/>
  <c r="D80" i="27"/>
  <c r="G79" i="27"/>
  <c r="H125" i="27"/>
  <c r="G122" i="27"/>
  <c r="H123" i="27"/>
  <c r="H101" i="8"/>
  <c r="E165" i="7"/>
  <c r="C144" i="7"/>
  <c r="E144" i="7" s="1"/>
  <c r="D164" i="7"/>
  <c r="E164" i="7" s="1"/>
  <c r="F163" i="7"/>
  <c r="J163" i="7" s="1"/>
  <c r="E163" i="7"/>
  <c r="E166" i="7"/>
  <c r="F166" i="7"/>
  <c r="F144" i="7"/>
  <c r="E113" i="7"/>
  <c r="E136" i="7"/>
  <c r="F138" i="7"/>
  <c r="J138" i="7" s="1"/>
  <c r="E160" i="7"/>
  <c r="F165" i="7"/>
  <c r="F113" i="7"/>
  <c r="J113" i="7" s="1"/>
  <c r="F136" i="7"/>
  <c r="F160" i="7"/>
  <c r="W12" i="24" l="1"/>
  <c r="S12" i="24"/>
  <c r="R13" i="24"/>
  <c r="W13" i="24" s="1"/>
  <c r="H124" i="27"/>
  <c r="G80" i="27"/>
  <c r="I123" i="27"/>
  <c r="G123" i="27"/>
  <c r="G125" i="27"/>
  <c r="I125" i="27" s="1"/>
  <c r="F164" i="7"/>
  <c r="E22" i="10"/>
  <c r="Z10" i="6" l="1"/>
  <c r="Z9" i="6"/>
  <c r="X12" i="24"/>
  <c r="W14" i="24"/>
  <c r="Z11" i="6"/>
  <c r="Z12" i="6"/>
  <c r="G14" i="24"/>
  <c r="X13" i="24"/>
  <c r="X16" i="24" s="1"/>
  <c r="S13" i="24"/>
  <c r="G124" i="27"/>
  <c r="I124" i="27" s="1"/>
  <c r="F34" i="13"/>
  <c r="F35" i="13"/>
  <c r="F37" i="13"/>
  <c r="F38" i="13"/>
  <c r="F39" i="13"/>
  <c r="F41" i="13"/>
  <c r="H14" i="8"/>
  <c r="K15" i="8"/>
  <c r="K14" i="8"/>
  <c r="E48" i="7" l="1"/>
  <c r="C43" i="8" l="1"/>
  <c r="C44" i="8" s="1"/>
  <c r="C42" i="8"/>
  <c r="H13" i="8" l="1"/>
  <c r="H16" i="8"/>
  <c r="H32" i="8"/>
  <c r="H28" i="8"/>
  <c r="H44" i="8"/>
  <c r="H20" i="8"/>
  <c r="H36" i="8"/>
  <c r="H24" i="8"/>
  <c r="H40" i="8"/>
  <c r="H43" i="8"/>
  <c r="H39" i="8"/>
  <c r="H35" i="8"/>
  <c r="H31" i="8"/>
  <c r="H27" i="8"/>
  <c r="H23" i="8"/>
  <c r="H19" i="8"/>
  <c r="H15" i="8"/>
  <c r="H38" i="8"/>
  <c r="H34" i="8"/>
  <c r="H30" i="8"/>
  <c r="H26" i="8"/>
  <c r="H22" i="8"/>
  <c r="H18" i="8"/>
  <c r="H42" i="8"/>
  <c r="H12" i="8"/>
  <c r="H41" i="8"/>
  <c r="H37" i="8"/>
  <c r="H33" i="8"/>
  <c r="H29" i="8"/>
  <c r="H25" i="8"/>
  <c r="H21" i="8"/>
  <c r="H17" i="8"/>
  <c r="F13" i="8" l="1"/>
  <c r="F14" i="8"/>
  <c r="F15" i="8"/>
  <c r="F16" i="8"/>
  <c r="F17" i="8"/>
  <c r="F18" i="8"/>
  <c r="F19" i="8"/>
  <c r="F20" i="8"/>
  <c r="F21" i="8"/>
  <c r="F22" i="8"/>
  <c r="F26" i="8"/>
  <c r="F27" i="8"/>
  <c r="F28" i="8"/>
  <c r="F29" i="8"/>
  <c r="F30" i="8"/>
  <c r="F31" i="8"/>
  <c r="F32" i="8"/>
  <c r="F33" i="8"/>
  <c r="F34" i="8"/>
  <c r="F35" i="8"/>
  <c r="F36" i="8"/>
  <c r="F37" i="8"/>
  <c r="F38" i="8"/>
  <c r="F39" i="8"/>
  <c r="F40" i="8"/>
  <c r="F41" i="8"/>
  <c r="F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12" i="8"/>
  <c r="F40" i="7"/>
  <c r="F41" i="7"/>
  <c r="F42" i="7"/>
  <c r="J42" i="7" s="1"/>
  <c r="F44" i="7"/>
  <c r="F46" i="7"/>
  <c r="F47" i="7"/>
  <c r="F48" i="7"/>
  <c r="F49" i="7"/>
  <c r="F52" i="7"/>
  <c r="J52" i="7" s="1"/>
  <c r="F53" i="7"/>
  <c r="F54" i="7"/>
  <c r="F55" i="7"/>
  <c r="F56" i="7"/>
  <c r="F58" i="7"/>
  <c r="J58" i="7" s="1"/>
  <c r="F59" i="7"/>
  <c r="F60" i="7"/>
  <c r="E61" i="7"/>
  <c r="F61" i="7"/>
  <c r="E62" i="7"/>
  <c r="F62" i="7"/>
  <c r="J62" i="7" s="1"/>
  <c r="E63" i="7"/>
  <c r="F63" i="7"/>
  <c r="E64" i="7"/>
  <c r="F64" i="7"/>
  <c r="E65" i="7"/>
  <c r="F65" i="7"/>
  <c r="J65" i="7" s="1"/>
  <c r="E66" i="7"/>
  <c r="E68" i="7"/>
  <c r="F68" i="7"/>
  <c r="E69" i="7"/>
  <c r="F69" i="7"/>
  <c r="J69" i="7" s="1"/>
  <c r="E74" i="7"/>
  <c r="F74" i="7"/>
  <c r="E75" i="7"/>
  <c r="F75" i="7"/>
  <c r="E76" i="7"/>
  <c r="F76" i="7"/>
  <c r="E77" i="7"/>
  <c r="F77" i="7"/>
  <c r="E78" i="7"/>
  <c r="F78" i="7"/>
  <c r="E79" i="7"/>
  <c r="F79" i="7"/>
  <c r="E13" i="7"/>
  <c r="E14" i="7"/>
  <c r="E15" i="7"/>
  <c r="E16" i="7"/>
  <c r="E18" i="7"/>
  <c r="E19" i="7"/>
  <c r="E21" i="7"/>
  <c r="E22" i="7"/>
  <c r="E23" i="7"/>
  <c r="E24" i="7"/>
  <c r="E25" i="7"/>
  <c r="E26" i="7"/>
  <c r="E27" i="7"/>
  <c r="E28" i="7"/>
  <c r="E29" i="7"/>
  <c r="E30" i="7"/>
  <c r="E31" i="7"/>
  <c r="E32" i="7"/>
  <c r="E33" i="7"/>
  <c r="E34" i="7"/>
  <c r="E35" i="7"/>
  <c r="E36" i="7"/>
  <c r="E37" i="7"/>
  <c r="E38" i="7"/>
  <c r="E39" i="7"/>
  <c r="E40" i="7"/>
  <c r="E41" i="7"/>
  <c r="E42" i="7"/>
  <c r="E44" i="7"/>
  <c r="E46" i="7"/>
  <c r="E47" i="7"/>
  <c r="E49" i="7"/>
  <c r="E50" i="7"/>
  <c r="E52" i="7"/>
  <c r="E53" i="7"/>
  <c r="E54" i="7"/>
  <c r="E55" i="7"/>
  <c r="E56" i="7"/>
  <c r="E57" i="7"/>
  <c r="E58" i="7"/>
  <c r="E59" i="7"/>
  <c r="E60" i="7"/>
  <c r="C72" i="7"/>
  <c r="E72" i="7" s="1"/>
  <c r="C71" i="7"/>
  <c r="C67" i="7"/>
  <c r="D67" i="7"/>
  <c r="D70" i="7" s="1"/>
  <c r="D71" i="7" s="1"/>
  <c r="C17" i="7"/>
  <c r="C43" i="7"/>
  <c r="C45" i="7"/>
  <c r="C20" i="7"/>
  <c r="D51" i="7"/>
  <c r="F12" i="7"/>
  <c r="J12" i="7" s="1"/>
  <c r="E12" i="7"/>
  <c r="F13" i="7"/>
  <c r="J13" i="7" s="1"/>
  <c r="F14" i="7"/>
  <c r="F15" i="7"/>
  <c r="J15" i="7" s="1"/>
  <c r="F16" i="7"/>
  <c r="F18" i="7"/>
  <c r="F19" i="7"/>
  <c r="F21" i="7"/>
  <c r="F22" i="7"/>
  <c r="F23" i="7"/>
  <c r="F24" i="7"/>
  <c r="F25" i="7"/>
  <c r="F26" i="7"/>
  <c r="J26" i="7" s="1"/>
  <c r="F27" i="7"/>
  <c r="F28" i="7"/>
  <c r="F29" i="7"/>
  <c r="F30" i="7"/>
  <c r="F31" i="7"/>
  <c r="F32" i="7"/>
  <c r="F33" i="7"/>
  <c r="F34" i="7"/>
  <c r="F35" i="7"/>
  <c r="F36" i="7"/>
  <c r="F37" i="7"/>
  <c r="F38" i="7"/>
  <c r="F39" i="7"/>
  <c r="F17" i="7" l="1"/>
  <c r="E20" i="7"/>
  <c r="F43" i="7"/>
  <c r="E43" i="7"/>
  <c r="C51" i="7"/>
  <c r="F72" i="7"/>
  <c r="F45" i="7"/>
  <c r="J45" i="7" s="1"/>
  <c r="F20" i="7"/>
  <c r="J20" i="7" s="1"/>
  <c r="E71" i="7"/>
  <c r="C73" i="7"/>
  <c r="E45" i="7"/>
  <c r="E17" i="7"/>
  <c r="F71" i="7"/>
  <c r="E70" i="7"/>
  <c r="F67" i="7"/>
  <c r="E67" i="7"/>
  <c r="F70" i="7"/>
  <c r="J70" i="7" s="1"/>
  <c r="H67" i="7" l="1"/>
  <c r="H172" i="7"/>
  <c r="H168" i="7"/>
  <c r="H162" i="7"/>
  <c r="K162" i="7" s="1"/>
  <c r="H161" i="7"/>
  <c r="K161" i="7" s="1"/>
  <c r="H157" i="7"/>
  <c r="H153" i="7"/>
  <c r="H149" i="7"/>
  <c r="H145" i="7"/>
  <c r="H143" i="7"/>
  <c r="H140" i="7"/>
  <c r="H137" i="7"/>
  <c r="H134" i="7"/>
  <c r="H133" i="7"/>
  <c r="K133" i="7" s="1"/>
  <c r="H132" i="7"/>
  <c r="K132" i="7" s="1"/>
  <c r="H131" i="7"/>
  <c r="K131" i="7" s="1"/>
  <c r="H127" i="7"/>
  <c r="H123" i="7"/>
  <c r="H118" i="7"/>
  <c r="H114" i="7"/>
  <c r="H112" i="7"/>
  <c r="H108" i="7"/>
  <c r="H167" i="7"/>
  <c r="H152" i="7"/>
  <c r="H139" i="7"/>
  <c r="H130" i="7"/>
  <c r="H126" i="7"/>
  <c r="H111" i="7"/>
  <c r="H107" i="7"/>
  <c r="H169" i="7"/>
  <c r="H163" i="7"/>
  <c r="H159" i="7"/>
  <c r="H158" i="7"/>
  <c r="H154" i="7"/>
  <c r="H146" i="7"/>
  <c r="H141" i="7"/>
  <c r="H135" i="7"/>
  <c r="H128" i="7"/>
  <c r="H124" i="7"/>
  <c r="H120" i="7"/>
  <c r="H119" i="7"/>
  <c r="H115" i="7"/>
  <c r="H109" i="7"/>
  <c r="H171" i="7"/>
  <c r="H156" i="7"/>
  <c r="H151" i="7"/>
  <c r="H148" i="7"/>
  <c r="H122" i="7"/>
  <c r="H117" i="7"/>
  <c r="H105" i="7"/>
  <c r="H170" i="7"/>
  <c r="H155" i="7"/>
  <c r="H150" i="7"/>
  <c r="H147" i="7"/>
  <c r="H142" i="7"/>
  <c r="H129" i="7"/>
  <c r="H125" i="7"/>
  <c r="H121" i="7"/>
  <c r="H116" i="7"/>
  <c r="H106" i="7"/>
  <c r="H136" i="7"/>
  <c r="H110" i="7"/>
  <c r="H160" i="7"/>
  <c r="H144" i="7"/>
  <c r="H113" i="7"/>
  <c r="H164" i="7"/>
  <c r="H166" i="7"/>
  <c r="H165" i="7"/>
  <c r="H138" i="7"/>
  <c r="H43" i="7"/>
  <c r="F73" i="7"/>
  <c r="H73" i="7"/>
  <c r="E73" i="7"/>
  <c r="H12" i="7"/>
  <c r="H64" i="7"/>
  <c r="H74" i="7"/>
  <c r="H78" i="7"/>
  <c r="H13" i="7"/>
  <c r="H21" i="7"/>
  <c r="H25" i="7"/>
  <c r="H29" i="7"/>
  <c r="H33" i="7"/>
  <c r="H37" i="7"/>
  <c r="H41" i="7"/>
  <c r="H49" i="7"/>
  <c r="H53" i="7"/>
  <c r="H57" i="7"/>
  <c r="H63" i="7"/>
  <c r="H69" i="7"/>
  <c r="K69" i="7" s="1"/>
  <c r="H77" i="7"/>
  <c r="H14" i="7"/>
  <c r="H18" i="7"/>
  <c r="H22" i="7"/>
  <c r="H26" i="7"/>
  <c r="H30" i="7"/>
  <c r="H34" i="7"/>
  <c r="H38" i="7"/>
  <c r="K38" i="7" s="1"/>
  <c r="H42" i="7"/>
  <c r="H46" i="7"/>
  <c r="H50" i="7"/>
  <c r="H54" i="7"/>
  <c r="H58" i="7"/>
  <c r="H62" i="7"/>
  <c r="H66" i="7"/>
  <c r="H68" i="7"/>
  <c r="K68" i="7" s="1"/>
  <c r="H70" i="7"/>
  <c r="H72" i="7"/>
  <c r="H76" i="7"/>
  <c r="H15" i="7"/>
  <c r="H19" i="7"/>
  <c r="H23" i="7"/>
  <c r="H27" i="7"/>
  <c r="H31" i="7"/>
  <c r="H35" i="7"/>
  <c r="H39" i="7"/>
  <c r="K39" i="7" s="1"/>
  <c r="H47" i="7"/>
  <c r="H51" i="7"/>
  <c r="H55" i="7"/>
  <c r="H59" i="7"/>
  <c r="E51" i="7"/>
  <c r="F51" i="7"/>
  <c r="H61" i="7"/>
  <c r="H65" i="7"/>
  <c r="H71" i="7"/>
  <c r="H75" i="7"/>
  <c r="H79" i="7"/>
  <c r="H16" i="7"/>
  <c r="H20" i="7"/>
  <c r="H24" i="7"/>
  <c r="H28" i="7"/>
  <c r="H32" i="7"/>
  <c r="H36" i="7"/>
  <c r="H40" i="7"/>
  <c r="K40" i="7" s="1"/>
  <c r="H44" i="7"/>
  <c r="H48" i="7"/>
  <c r="H52" i="7"/>
  <c r="H56" i="7"/>
  <c r="H60" i="7"/>
  <c r="H45" i="7"/>
  <c r="H17" i="7"/>
  <c r="B4" i="5" l="1"/>
  <c r="F10" i="19"/>
  <c r="F9" i="19"/>
  <c r="F8" i="19"/>
  <c r="B10" i="19"/>
  <c r="B9" i="19"/>
  <c r="C6" i="3" s="1"/>
  <c r="B8" i="19"/>
  <c r="D4" i="24"/>
  <c r="H9" i="8"/>
  <c r="H67" i="8" s="1"/>
  <c r="H8" i="8"/>
  <c r="H66" i="8" s="1"/>
  <c r="H7" i="8"/>
  <c r="H65" i="8" s="1"/>
  <c r="C9" i="8"/>
  <c r="C67" i="8" s="1"/>
  <c r="C8" i="8"/>
  <c r="C66" i="8" s="1"/>
  <c r="C7" i="8"/>
  <c r="C65" i="8" s="1"/>
  <c r="G7" i="9"/>
  <c r="G6" i="9"/>
  <c r="C7" i="9"/>
  <c r="C6" i="9"/>
  <c r="E6" i="12"/>
  <c r="E5" i="12"/>
  <c r="B6" i="12"/>
  <c r="B5" i="12"/>
  <c r="H7" i="13"/>
  <c r="H6" i="13"/>
  <c r="B7" i="13"/>
  <c r="B5" i="13"/>
  <c r="F10" i="10"/>
  <c r="F9" i="10"/>
  <c r="B11" i="10"/>
  <c r="B10" i="10"/>
  <c r="G9" i="14"/>
  <c r="G11" i="14"/>
  <c r="G10" i="14"/>
  <c r="C11" i="14"/>
  <c r="C10" i="14"/>
  <c r="F8" i="11"/>
  <c r="F7" i="11"/>
  <c r="C9" i="11"/>
  <c r="C8" i="11"/>
  <c r="C7" i="11"/>
  <c r="B9" i="17"/>
  <c r="B8" i="17"/>
  <c r="B7" i="17"/>
  <c r="I9" i="17"/>
  <c r="I8" i="17"/>
  <c r="I7" i="17"/>
  <c r="G6" i="5"/>
  <c r="G5" i="5"/>
  <c r="G4" i="5"/>
  <c r="B6" i="5"/>
  <c r="B5" i="5"/>
  <c r="B6" i="26"/>
  <c r="B5" i="26"/>
  <c r="B4" i="26"/>
  <c r="B3" i="26"/>
  <c r="F8" i="3"/>
  <c r="F6" i="3"/>
  <c r="C8" i="3"/>
  <c r="C7" i="3"/>
  <c r="C5" i="3"/>
  <c r="R22" i="9" l="1"/>
  <c r="N22" i="9"/>
  <c r="L21" i="9"/>
  <c r="L22" i="9"/>
  <c r="N51" i="9" s="1"/>
  <c r="P22" i="9"/>
  <c r="N21" i="9"/>
  <c r="N18" i="9"/>
  <c r="N17" i="9"/>
  <c r="P51" i="9"/>
  <c r="N19" i="9"/>
  <c r="N20" i="9"/>
  <c r="S17" i="9"/>
  <c r="R20" i="9"/>
  <c r="Q19" i="9"/>
  <c r="O21" i="9"/>
  <c r="M19" i="9"/>
  <c r="L19" i="9"/>
  <c r="S16" i="9"/>
  <c r="O16" i="9"/>
  <c r="S18" i="9"/>
  <c r="Q17" i="9"/>
  <c r="R17" i="9"/>
  <c r="O17" i="9"/>
  <c r="O18" i="9"/>
  <c r="M17" i="9"/>
  <c r="M20" i="9"/>
  <c r="L20" i="9"/>
  <c r="R16" i="9"/>
  <c r="N16" i="9"/>
  <c r="S19" i="9"/>
  <c r="R18" i="9"/>
  <c r="P17" i="9"/>
  <c r="P18" i="9"/>
  <c r="O19" i="9"/>
  <c r="L17" i="9"/>
  <c r="M21" i="9"/>
  <c r="Q16" i="9"/>
  <c r="M16" i="9"/>
  <c r="S20" i="9"/>
  <c r="R19" i="9"/>
  <c r="Q18" i="9"/>
  <c r="P19" i="9"/>
  <c r="O20" i="9"/>
  <c r="M18" i="9"/>
  <c r="L18" i="9"/>
  <c r="L16" i="9"/>
  <c r="P16" i="9"/>
  <c r="L24" i="9"/>
  <c r="L28" i="9"/>
  <c r="M7" i="9"/>
  <c r="Q7" i="9"/>
  <c r="P6" i="9"/>
  <c r="L14" i="9"/>
  <c r="Q6" i="9"/>
  <c r="L15" i="9"/>
  <c r="L13" i="9"/>
  <c r="L9" i="9"/>
  <c r="P7" i="9"/>
  <c r="L5" i="9"/>
  <c r="L11" i="9"/>
  <c r="M5" i="9"/>
  <c r="R15" i="9"/>
  <c r="N50" i="9"/>
  <c r="L6" i="9"/>
  <c r="L26" i="9"/>
  <c r="M6" i="9"/>
  <c r="L7" i="9"/>
  <c r="V59" i="9"/>
  <c r="R59" i="9"/>
  <c r="T58" i="9"/>
  <c r="N57" i="9"/>
  <c r="P50" i="9"/>
  <c r="N48" i="9"/>
  <c r="L29" i="9"/>
  <c r="V60" i="9"/>
  <c r="X58" i="9"/>
  <c r="N58" i="9"/>
  <c r="R57" i="9"/>
  <c r="M29" i="9"/>
  <c r="T60" i="9"/>
  <c r="Q60" i="9"/>
  <c r="R58" i="9"/>
  <c r="X57" i="9"/>
  <c r="N55" i="9"/>
  <c r="Q51" i="9"/>
  <c r="O59" i="9" s="1"/>
  <c r="S50" i="9"/>
  <c r="O50" i="9"/>
  <c r="O29" i="9"/>
  <c r="T59" i="9"/>
  <c r="Q59" i="9"/>
  <c r="O58" i="9"/>
  <c r="T57" i="9"/>
  <c r="N53" i="9"/>
  <c r="R50" i="9"/>
  <c r="N29" i="9"/>
  <c r="L27" i="9"/>
  <c r="R60" i="9"/>
  <c r="Q50" i="9"/>
  <c r="N49" i="9"/>
  <c r="B26" i="9"/>
  <c r="R56" i="9"/>
  <c r="B4" i="12"/>
  <c r="B4" i="27" s="1"/>
  <c r="B7" i="19"/>
  <c r="C8" i="14"/>
  <c r="B3" i="5"/>
  <c r="C5" i="9"/>
  <c r="C4" i="3"/>
  <c r="C6" i="8"/>
  <c r="C64" i="8" s="1"/>
  <c r="B6" i="17"/>
  <c r="O51" i="9" l="1"/>
  <c r="P58" i="9" s="1"/>
  <c r="R51" i="9"/>
  <c r="S51" i="9" s="1"/>
  <c r="F150" i="27"/>
  <c r="N59" i="9"/>
  <c r="G150" i="27"/>
  <c r="D21" i="14" l="1"/>
  <c r="K21" i="14" s="1"/>
  <c r="D22" i="14"/>
  <c r="C39" i="10"/>
  <c r="D39" i="10" s="1"/>
  <c r="D34" i="10" l="1"/>
  <c r="B59" i="9"/>
  <c r="H23" i="11" l="1"/>
  <c r="I16" i="11" l="1"/>
  <c r="N22" i="11" l="1"/>
  <c r="B12" i="26" l="1"/>
  <c r="H111" i="5" l="1"/>
  <c r="G111" i="5"/>
  <c r="C119" i="5" l="1"/>
  <c r="D119" i="5"/>
  <c r="D15" i="3" s="1"/>
  <c r="E119" i="5" l="1"/>
  <c r="I44" i="24"/>
  <c r="H44" i="24"/>
  <c r="CC15" i="26" l="1"/>
  <c r="E65413" i="26"/>
  <c r="E65412" i="26"/>
  <c r="E65411" i="26"/>
  <c r="E65410" i="26"/>
  <c r="E65409" i="26"/>
  <c r="E65408" i="26"/>
  <c r="E65407" i="26"/>
  <c r="E65406" i="26"/>
  <c r="E65405" i="26"/>
  <c r="E65404" i="26"/>
  <c r="E65403" i="26"/>
  <c r="E65402" i="26"/>
  <c r="E65401" i="26"/>
  <c r="E65400" i="26"/>
  <c r="E65399" i="26"/>
  <c r="E65398" i="26"/>
  <c r="E65397" i="26"/>
  <c r="E65396" i="26"/>
  <c r="E65395" i="26"/>
  <c r="E65394" i="26"/>
  <c r="E65393" i="26"/>
  <c r="E65392" i="26"/>
  <c r="E65391" i="26"/>
  <c r="E65390" i="26"/>
  <c r="E65389" i="26"/>
  <c r="E65388" i="26"/>
  <c r="E65387" i="26"/>
  <c r="E65386" i="26"/>
  <c r="E65385" i="26"/>
  <c r="E65384" i="26"/>
  <c r="E65383" i="26"/>
  <c r="E65382" i="26"/>
  <c r="E65381" i="26"/>
  <c r="E65380" i="26"/>
  <c r="H98" i="26"/>
  <c r="H97" i="26" s="1"/>
  <c r="G98" i="26"/>
  <c r="G97" i="26" s="1"/>
  <c r="F98" i="26"/>
  <c r="F97" i="26" s="1"/>
  <c r="Q96" i="26"/>
  <c r="O96" i="26"/>
  <c r="CG15" i="26" l="1"/>
  <c r="H15" i="26"/>
  <c r="CJ15" i="26"/>
  <c r="AR15" i="26"/>
  <c r="I15" i="26"/>
  <c r="L15" i="26"/>
  <c r="M15" i="26"/>
  <c r="CR15" i="26"/>
  <c r="AS15" i="26"/>
  <c r="BA15" i="26"/>
  <c r="BD15" i="26"/>
  <c r="CS15" i="26"/>
  <c r="P15" i="26"/>
  <c r="BE15" i="26"/>
  <c r="CV15" i="26"/>
  <c r="CY15" i="26"/>
  <c r="AB15" i="26"/>
  <c r="CF15" i="26"/>
  <c r="Q15" i="26"/>
  <c r="AV15" i="26"/>
  <c r="BH15" i="26"/>
  <c r="CK15" i="26"/>
  <c r="T15" i="26"/>
  <c r="AW15" i="26"/>
  <c r="BM15" i="26"/>
  <c r="CN15" i="26"/>
  <c r="Y15" i="26"/>
  <c r="AZ15" i="26"/>
  <c r="BP15" i="26"/>
  <c r="CO15" i="26"/>
  <c r="U15" i="26"/>
  <c r="BI15" i="26"/>
  <c r="CW15" i="26"/>
  <c r="X15" i="26"/>
  <c r="BL15" i="26"/>
  <c r="BQ15" i="26"/>
  <c r="AF15" i="26"/>
  <c r="BT15" i="26"/>
  <c r="AJ15" i="26"/>
  <c r="BX15" i="26"/>
  <c r="E15" i="26"/>
  <c r="AC15" i="26"/>
  <c r="BU15" i="26"/>
  <c r="BY15" i="26"/>
  <c r="F15" i="26"/>
  <c r="AN15" i="26"/>
  <c r="CB15" i="26"/>
  <c r="AG15" i="26"/>
  <c r="AK15" i="26"/>
  <c r="AO15" i="26"/>
  <c r="J15" i="26"/>
  <c r="N15" i="26"/>
  <c r="R15" i="26"/>
  <c r="V15" i="26"/>
  <c r="Z15" i="26"/>
  <c r="AD15" i="26"/>
  <c r="AH15" i="26"/>
  <c r="AL15" i="26"/>
  <c r="AP15" i="26"/>
  <c r="AT15" i="26"/>
  <c r="AX15" i="26"/>
  <c r="BB15" i="26"/>
  <c r="BF15" i="26"/>
  <c r="BJ15" i="26"/>
  <c r="BN15" i="26"/>
  <c r="BR15" i="26"/>
  <c r="BV15" i="26"/>
  <c r="BZ15" i="26"/>
  <c r="CD15" i="26"/>
  <c r="CH15" i="26"/>
  <c r="CL15" i="26"/>
  <c r="CP15" i="26"/>
  <c r="CT15" i="26"/>
  <c r="CX15" i="26"/>
  <c r="G15" i="26"/>
  <c r="K15" i="26"/>
  <c r="O15" i="26"/>
  <c r="S15" i="26"/>
  <c r="W15" i="26"/>
  <c r="AA15" i="26"/>
  <c r="AE15" i="26"/>
  <c r="AI15" i="26"/>
  <c r="AM15" i="26"/>
  <c r="AQ15" i="26"/>
  <c r="AU15" i="26"/>
  <c r="AY15" i="26"/>
  <c r="BC15" i="26"/>
  <c r="BG15" i="26"/>
  <c r="BK15" i="26"/>
  <c r="BO15" i="26"/>
  <c r="BS15" i="26"/>
  <c r="BW15" i="26"/>
  <c r="CA15" i="26"/>
  <c r="CE15" i="26"/>
  <c r="CI15" i="26"/>
  <c r="CM15" i="26"/>
  <c r="CQ15" i="26"/>
  <c r="CU15" i="26"/>
  <c r="H40" i="24"/>
  <c r="CZ83" i="26" l="1"/>
  <c r="G29" i="24"/>
  <c r="G25" i="24"/>
  <c r="D19" i="24"/>
  <c r="D25" i="24"/>
  <c r="H25" i="24" l="1"/>
  <c r="I29" i="24"/>
  <c r="J29" i="24"/>
  <c r="H29" i="24"/>
  <c r="G31" i="24"/>
  <c r="H9" i="7" l="1"/>
  <c r="H102" i="7" s="1"/>
  <c r="H8" i="7"/>
  <c r="H101" i="7" s="1"/>
  <c r="H7" i="7"/>
  <c r="H100" i="7" s="1"/>
  <c r="C9" i="7"/>
  <c r="C102" i="7" s="1"/>
  <c r="C8" i="7"/>
  <c r="C101" i="7" s="1"/>
  <c r="C7" i="7"/>
  <c r="C100" i="7" s="1"/>
  <c r="C6" i="7"/>
  <c r="C99" i="7" l="1"/>
  <c r="C71" i="14"/>
  <c r="U18" i="11" l="1"/>
  <c r="T18" i="11"/>
  <c r="S18" i="11"/>
  <c r="Q18" i="11"/>
  <c r="H11" i="11" l="1"/>
  <c r="E12" i="11"/>
  <c r="E11" i="11"/>
  <c r="T25" i="11"/>
  <c r="H22" i="11"/>
  <c r="V18" i="11" l="1"/>
  <c r="P19" i="11" s="1"/>
  <c r="Q19" i="11" s="1"/>
  <c r="R21" i="11"/>
  <c r="O21" i="11"/>
  <c r="L21" i="11"/>
  <c r="D31" i="14"/>
  <c r="K31" i="14" s="1"/>
  <c r="F76" i="10"/>
  <c r="F77" i="10"/>
  <c r="F78" i="10"/>
  <c r="F79" i="10"/>
  <c r="F80" i="10"/>
  <c r="F81" i="10"/>
  <c r="F75" i="10"/>
  <c r="F41" i="23" l="1"/>
  <c r="F42" i="23"/>
  <c r="F43" i="23"/>
  <c r="F44" i="23"/>
  <c r="F45" i="23"/>
  <c r="F46" i="23"/>
  <c r="F47" i="23"/>
  <c r="F48" i="23"/>
  <c r="F49" i="23"/>
  <c r="F50" i="23"/>
  <c r="F51" i="23"/>
  <c r="F52" i="23"/>
  <c r="F53" i="23"/>
  <c r="F54" i="23"/>
  <c r="F55" i="23"/>
  <c r="F56" i="23"/>
  <c r="F57" i="23"/>
  <c r="F58" i="23"/>
  <c r="F59" i="23"/>
  <c r="F60" i="23"/>
  <c r="F61" i="23"/>
  <c r="F62" i="23"/>
  <c r="F63" i="23"/>
  <c r="F64" i="23"/>
  <c r="F40" i="23"/>
  <c r="D40" i="23"/>
  <c r="D71" i="14" l="1"/>
  <c r="M18" i="19"/>
  <c r="AQ5" i="15" l="1"/>
  <c r="AQ6" i="15"/>
  <c r="AQ7" i="15"/>
  <c r="AQ8" i="15"/>
  <c r="AQ9" i="15"/>
  <c r="AQ10" i="15"/>
  <c r="AQ11" i="15"/>
  <c r="AQ12" i="15"/>
  <c r="AQ13" i="15"/>
  <c r="AQ14" i="15"/>
  <c r="AQ15" i="15"/>
  <c r="AQ16" i="15"/>
  <c r="AQ17" i="15"/>
  <c r="AQ18" i="15"/>
  <c r="AQ19" i="15"/>
  <c r="AQ20" i="15"/>
  <c r="AQ21" i="15"/>
  <c r="AQ22" i="15"/>
  <c r="AQ23" i="15"/>
  <c r="AQ24" i="15"/>
  <c r="AQ25" i="15"/>
  <c r="AQ26" i="15"/>
  <c r="AQ27" i="15"/>
  <c r="AQ28" i="15"/>
  <c r="AQ29" i="15"/>
  <c r="AQ30" i="15"/>
  <c r="AQ31" i="15"/>
  <c r="AQ32" i="15"/>
  <c r="AQ33" i="15"/>
  <c r="AQ34" i="15"/>
  <c r="AQ35" i="15"/>
  <c r="AQ36" i="15"/>
  <c r="AQ37" i="15"/>
  <c r="AQ38" i="15"/>
  <c r="AQ39" i="15"/>
  <c r="AQ40" i="15"/>
  <c r="AQ41" i="15"/>
  <c r="AQ42" i="15"/>
  <c r="AQ43" i="15"/>
  <c r="AQ44" i="15"/>
  <c r="AQ45" i="15"/>
  <c r="AQ46" i="15"/>
  <c r="AQ47" i="15"/>
  <c r="AQ48"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4" i="15"/>
  <c r="AJ4" i="15"/>
  <c r="AJ70" i="15"/>
  <c r="I54" i="14"/>
  <c r="I70" i="14" l="1"/>
  <c r="H70" i="14"/>
  <c r="D28" i="14"/>
  <c r="D27" i="14"/>
  <c r="D30" i="14"/>
  <c r="E72" i="10"/>
  <c r="F72" i="10" s="1"/>
  <c r="A22" i="23" l="1"/>
  <c r="A19" i="23"/>
  <c r="A20" i="23"/>
  <c r="A21" i="23"/>
  <c r="F35" i="23" l="1"/>
  <c r="F34" i="23"/>
  <c r="F33" i="23"/>
  <c r="F32" i="23"/>
  <c r="F31" i="23"/>
  <c r="F30" i="23"/>
  <c r="F29" i="23"/>
  <c r="F28" i="23"/>
  <c r="F27" i="23"/>
  <c r="I16" i="24" l="1"/>
  <c r="D12" i="24"/>
  <c r="A38" i="23"/>
  <c r="A37" i="23"/>
  <c r="A36" i="23"/>
  <c r="A35" i="23"/>
  <c r="A34" i="23"/>
  <c r="A33" i="23"/>
  <c r="A32" i="23"/>
  <c r="A31" i="23"/>
  <c r="A30" i="23"/>
  <c r="A29" i="23"/>
  <c r="A28" i="23"/>
  <c r="A27" i="23"/>
  <c r="F18" i="23"/>
  <c r="A18" i="23"/>
  <c r="F17" i="23"/>
  <c r="A17" i="23"/>
  <c r="F16" i="23"/>
  <c r="A16" i="23"/>
  <c r="F15" i="23"/>
  <c r="A15" i="23"/>
  <c r="F14" i="23"/>
  <c r="A14" i="23"/>
  <c r="F13" i="23"/>
  <c r="A13" i="23"/>
  <c r="F12" i="23"/>
  <c r="A12" i="23"/>
  <c r="F11" i="23"/>
  <c r="A11" i="23"/>
  <c r="F10" i="23"/>
  <c r="A10" i="23"/>
  <c r="F9" i="23"/>
  <c r="A9" i="23"/>
  <c r="F8" i="23"/>
  <c r="A8" i="23"/>
  <c r="F7" i="23"/>
  <c r="A7" i="23"/>
  <c r="F6" i="23"/>
  <c r="A6" i="23"/>
  <c r="F5" i="23"/>
  <c r="A5" i="23"/>
  <c r="F4" i="23"/>
  <c r="A4" i="23"/>
  <c r="F3" i="23"/>
  <c r="A3" i="23"/>
  <c r="K16" i="24" l="1"/>
  <c r="D35" i="24"/>
  <c r="G23" i="24"/>
  <c r="G33" i="24" l="1"/>
  <c r="J39" i="14"/>
  <c r="J38" i="14"/>
  <c r="J42" i="14"/>
  <c r="N23" i="11" l="1"/>
  <c r="S22" i="11" l="1"/>
  <c r="I19" i="11"/>
  <c r="L25" i="17" l="1"/>
  <c r="G12" i="17" s="1"/>
  <c r="H12" i="11" l="1"/>
  <c r="V22" i="11"/>
  <c r="U23" i="11"/>
  <c r="T23" i="11"/>
  <c r="T22" i="11"/>
  <c r="R23" i="11"/>
  <c r="Q23" i="11"/>
  <c r="O23" i="11"/>
  <c r="Q22" i="11"/>
  <c r="L19" i="11"/>
  <c r="J22" i="11"/>
  <c r="I23" i="11"/>
  <c r="E16" i="11"/>
  <c r="D16" i="11"/>
  <c r="C16" i="11"/>
  <c r="B16" i="11"/>
  <c r="A37" i="20"/>
  <c r="A36" i="20"/>
  <c r="A35" i="20"/>
  <c r="A34" i="20"/>
  <c r="A33" i="20"/>
  <c r="A32" i="20"/>
  <c r="A31" i="20"/>
  <c r="A30" i="20"/>
  <c r="A29" i="20"/>
  <c r="A28" i="20"/>
  <c r="A27" i="20"/>
  <c r="A26" i="20"/>
  <c r="F18" i="20"/>
  <c r="A18" i="20"/>
  <c r="F17" i="20"/>
  <c r="A17" i="20"/>
  <c r="F16" i="20"/>
  <c r="A16" i="20"/>
  <c r="F15" i="20"/>
  <c r="A15" i="20"/>
  <c r="F14" i="20"/>
  <c r="A14" i="20"/>
  <c r="F13" i="20"/>
  <c r="A13" i="20"/>
  <c r="F12" i="20"/>
  <c r="A12" i="20"/>
  <c r="F11" i="20"/>
  <c r="A11" i="20"/>
  <c r="F10" i="20"/>
  <c r="A10" i="20"/>
  <c r="F9" i="20"/>
  <c r="A9" i="20"/>
  <c r="F8" i="20"/>
  <c r="A8" i="20"/>
  <c r="F7" i="20"/>
  <c r="A7" i="20"/>
  <c r="F6" i="20"/>
  <c r="A6" i="20"/>
  <c r="F5" i="20"/>
  <c r="A5" i="20"/>
  <c r="F4" i="20"/>
  <c r="A4" i="20"/>
  <c r="F3" i="20"/>
  <c r="A3" i="20"/>
  <c r="AT99" i="19"/>
  <c r="AT96" i="19"/>
  <c r="Q96" i="19"/>
  <c r="O96" i="19"/>
  <c r="M96" i="19"/>
  <c r="G96" i="19"/>
  <c r="F96" i="19"/>
  <c r="D96" i="19"/>
  <c r="Q95" i="19"/>
  <c r="O95" i="19"/>
  <c r="M95" i="19"/>
  <c r="G95" i="19"/>
  <c r="H95" i="19" s="1"/>
  <c r="F95" i="19"/>
  <c r="D95" i="19"/>
  <c r="Q94" i="19"/>
  <c r="O94" i="19"/>
  <c r="M94" i="19"/>
  <c r="G94" i="19"/>
  <c r="H94" i="19" s="1"/>
  <c r="F94" i="19"/>
  <c r="D94" i="19"/>
  <c r="Q93" i="19"/>
  <c r="O93" i="19"/>
  <c r="M93" i="19"/>
  <c r="G93" i="19"/>
  <c r="H93" i="19" s="1"/>
  <c r="F93" i="19"/>
  <c r="D93" i="19"/>
  <c r="Q92" i="19"/>
  <c r="O92" i="19"/>
  <c r="M92" i="19"/>
  <c r="G92" i="19"/>
  <c r="H92" i="19" s="1"/>
  <c r="F92" i="19"/>
  <c r="D92" i="19"/>
  <c r="Q91" i="19"/>
  <c r="O91" i="19"/>
  <c r="M91" i="19"/>
  <c r="G91" i="19"/>
  <c r="H91" i="19" s="1"/>
  <c r="F91" i="19"/>
  <c r="D91" i="19"/>
  <c r="Q90" i="19"/>
  <c r="O90" i="19"/>
  <c r="M90" i="19"/>
  <c r="G90" i="19"/>
  <c r="H90" i="19" s="1"/>
  <c r="F90" i="19"/>
  <c r="D90" i="19"/>
  <c r="Q89" i="19"/>
  <c r="O89" i="19"/>
  <c r="M89" i="19"/>
  <c r="G89" i="19"/>
  <c r="H89" i="19" s="1"/>
  <c r="F89" i="19"/>
  <c r="D89" i="19"/>
  <c r="Q88" i="19"/>
  <c r="O88" i="19"/>
  <c r="M88" i="19"/>
  <c r="G88" i="19"/>
  <c r="H88" i="19" s="1"/>
  <c r="F88" i="19"/>
  <c r="D88" i="19"/>
  <c r="Q83" i="19"/>
  <c r="O83" i="19"/>
  <c r="M83" i="19"/>
  <c r="G83" i="19"/>
  <c r="H83" i="19" s="1"/>
  <c r="F83" i="19"/>
  <c r="D83" i="19"/>
  <c r="Q82" i="19"/>
  <c r="O82" i="19"/>
  <c r="M82" i="19"/>
  <c r="G82" i="19"/>
  <c r="H82" i="19" s="1"/>
  <c r="F82" i="19"/>
  <c r="D82" i="19"/>
  <c r="Q81" i="19"/>
  <c r="O81" i="19"/>
  <c r="M81" i="19"/>
  <c r="G81" i="19"/>
  <c r="H81" i="19" s="1"/>
  <c r="F81" i="19"/>
  <c r="D81" i="19"/>
  <c r="Q80" i="19"/>
  <c r="O80" i="19"/>
  <c r="M80" i="19"/>
  <c r="G80" i="19"/>
  <c r="H80" i="19" s="1"/>
  <c r="F80" i="19"/>
  <c r="D80" i="19"/>
  <c r="Q79" i="19"/>
  <c r="O79" i="19"/>
  <c r="M79" i="19"/>
  <c r="G79" i="19"/>
  <c r="H79" i="19" s="1"/>
  <c r="F79" i="19"/>
  <c r="D79" i="19"/>
  <c r="Q78" i="19"/>
  <c r="O78" i="19"/>
  <c r="M78" i="19"/>
  <c r="G78" i="19"/>
  <c r="H78" i="19" s="1"/>
  <c r="F78" i="19"/>
  <c r="D78" i="19"/>
  <c r="Q77" i="19"/>
  <c r="O77" i="19"/>
  <c r="M77" i="19"/>
  <c r="G77" i="19"/>
  <c r="H77" i="19" s="1"/>
  <c r="F77" i="19"/>
  <c r="D77" i="19"/>
  <c r="Q76" i="19"/>
  <c r="O76" i="19"/>
  <c r="M76" i="19"/>
  <c r="G76" i="19"/>
  <c r="H76" i="19" s="1"/>
  <c r="F76" i="19"/>
  <c r="D76" i="19"/>
  <c r="Q75" i="19"/>
  <c r="O75" i="19"/>
  <c r="M75" i="19"/>
  <c r="G75" i="19"/>
  <c r="H75" i="19" s="1"/>
  <c r="F75" i="19"/>
  <c r="D75" i="19"/>
  <c r="Q74" i="19"/>
  <c r="O74" i="19"/>
  <c r="M74" i="19"/>
  <c r="G74" i="19"/>
  <c r="H74" i="19" s="1"/>
  <c r="F74" i="19"/>
  <c r="D74" i="19"/>
  <c r="Q73" i="19"/>
  <c r="O73" i="19"/>
  <c r="M73" i="19"/>
  <c r="G73" i="19"/>
  <c r="H73" i="19" s="1"/>
  <c r="F73" i="19"/>
  <c r="D73" i="19"/>
  <c r="Q72" i="19"/>
  <c r="O72" i="19"/>
  <c r="M72" i="19"/>
  <c r="G72" i="19"/>
  <c r="H72" i="19" s="1"/>
  <c r="F72" i="19"/>
  <c r="D72" i="19"/>
  <c r="Q71" i="19"/>
  <c r="O71" i="19"/>
  <c r="M71" i="19"/>
  <c r="G71" i="19"/>
  <c r="H71" i="19" s="1"/>
  <c r="F71" i="19"/>
  <c r="D71" i="19"/>
  <c r="Q70" i="19"/>
  <c r="O70" i="19"/>
  <c r="M70" i="19"/>
  <c r="G70" i="19"/>
  <c r="H70" i="19" s="1"/>
  <c r="F70" i="19"/>
  <c r="D70" i="19"/>
  <c r="Q69" i="19"/>
  <c r="O69" i="19"/>
  <c r="M69" i="19"/>
  <c r="G69" i="19"/>
  <c r="H69" i="19" s="1"/>
  <c r="F69" i="19"/>
  <c r="D69" i="19"/>
  <c r="Q68" i="19"/>
  <c r="O68" i="19"/>
  <c r="M68" i="19"/>
  <c r="G68" i="19"/>
  <c r="H68" i="19" s="1"/>
  <c r="F68" i="19"/>
  <c r="D68" i="19"/>
  <c r="Q67" i="19"/>
  <c r="O67" i="19"/>
  <c r="M67" i="19"/>
  <c r="G67" i="19"/>
  <c r="H67" i="19" s="1"/>
  <c r="F67" i="19"/>
  <c r="D67" i="19"/>
  <c r="Q66" i="19"/>
  <c r="O66" i="19"/>
  <c r="M66" i="19"/>
  <c r="G66" i="19"/>
  <c r="H66" i="19" s="1"/>
  <c r="F66" i="19"/>
  <c r="D66" i="19"/>
  <c r="Q65" i="19"/>
  <c r="O65" i="19"/>
  <c r="M65" i="19"/>
  <c r="G65" i="19"/>
  <c r="H65" i="19" s="1"/>
  <c r="F65" i="19"/>
  <c r="D65" i="19"/>
  <c r="Q64" i="19"/>
  <c r="O64" i="19"/>
  <c r="M64" i="19"/>
  <c r="G64" i="19"/>
  <c r="H64" i="19" s="1"/>
  <c r="F64" i="19"/>
  <c r="D64" i="19"/>
  <c r="Q63" i="19"/>
  <c r="O63" i="19"/>
  <c r="M63" i="19"/>
  <c r="G63" i="19"/>
  <c r="H63" i="19" s="1"/>
  <c r="F63" i="19"/>
  <c r="D63" i="19"/>
  <c r="Q62" i="19"/>
  <c r="O62" i="19"/>
  <c r="M62" i="19"/>
  <c r="G62" i="19"/>
  <c r="H62" i="19" s="1"/>
  <c r="F62" i="19"/>
  <c r="D62" i="19"/>
  <c r="Q61" i="19"/>
  <c r="O61" i="19"/>
  <c r="M61" i="19"/>
  <c r="G61" i="19"/>
  <c r="H61" i="19" s="1"/>
  <c r="F61" i="19"/>
  <c r="D61" i="19"/>
  <c r="Q60" i="19"/>
  <c r="O60" i="19"/>
  <c r="M60" i="19"/>
  <c r="G60" i="19"/>
  <c r="H60" i="19" s="1"/>
  <c r="F60" i="19"/>
  <c r="D60" i="19"/>
  <c r="Q59" i="19"/>
  <c r="O59" i="19"/>
  <c r="M59" i="19"/>
  <c r="G59" i="19"/>
  <c r="H59" i="19" s="1"/>
  <c r="F59" i="19"/>
  <c r="D59" i="19"/>
  <c r="Q58" i="19"/>
  <c r="O58" i="19"/>
  <c r="M58" i="19"/>
  <c r="G58" i="19"/>
  <c r="H58" i="19" s="1"/>
  <c r="F58" i="19"/>
  <c r="D58" i="19"/>
  <c r="Q57" i="19"/>
  <c r="O57" i="19"/>
  <c r="M57" i="19"/>
  <c r="G57" i="19"/>
  <c r="H57" i="19" s="1"/>
  <c r="F57" i="19"/>
  <c r="D57" i="19"/>
  <c r="Q56" i="19"/>
  <c r="O56" i="19"/>
  <c r="M56" i="19"/>
  <c r="G56" i="19"/>
  <c r="H56" i="19" s="1"/>
  <c r="F56" i="19"/>
  <c r="D56" i="19"/>
  <c r="Q55" i="19"/>
  <c r="O55" i="19"/>
  <c r="M55" i="19"/>
  <c r="G55" i="19"/>
  <c r="H55" i="19" s="1"/>
  <c r="F55" i="19"/>
  <c r="D55" i="19"/>
  <c r="Q54" i="19"/>
  <c r="O54" i="19"/>
  <c r="M54" i="19"/>
  <c r="G54" i="19"/>
  <c r="H54" i="19" s="1"/>
  <c r="F54" i="19"/>
  <c r="D54" i="19"/>
  <c r="Q53" i="19"/>
  <c r="O53" i="19"/>
  <c r="M53" i="19"/>
  <c r="G53" i="19"/>
  <c r="H53" i="19" s="1"/>
  <c r="F53" i="19"/>
  <c r="D53" i="19"/>
  <c r="Q52" i="19"/>
  <c r="O52" i="19"/>
  <c r="M52" i="19"/>
  <c r="G52" i="19"/>
  <c r="H52" i="19" s="1"/>
  <c r="F52" i="19"/>
  <c r="D52" i="19"/>
  <c r="Q51" i="19"/>
  <c r="O51" i="19"/>
  <c r="M51" i="19"/>
  <c r="G51" i="19"/>
  <c r="H51" i="19" s="1"/>
  <c r="F51" i="19"/>
  <c r="D51" i="19"/>
  <c r="Q50" i="19"/>
  <c r="O50" i="19"/>
  <c r="M50" i="19"/>
  <c r="G50" i="19"/>
  <c r="H50" i="19" s="1"/>
  <c r="F50" i="19"/>
  <c r="D50" i="19"/>
  <c r="Q49" i="19"/>
  <c r="O49" i="19"/>
  <c r="M49" i="19"/>
  <c r="G49" i="19"/>
  <c r="H49" i="19" s="1"/>
  <c r="F49" i="19"/>
  <c r="D49" i="19"/>
  <c r="AT44" i="19"/>
  <c r="O44" i="19"/>
  <c r="O43" i="19"/>
  <c r="M43" i="19"/>
  <c r="G43" i="19"/>
  <c r="H43" i="19" s="1"/>
  <c r="F43" i="19"/>
  <c r="D43" i="19"/>
  <c r="O42" i="19"/>
  <c r="M42" i="19"/>
  <c r="G42" i="19"/>
  <c r="H42" i="19" s="1"/>
  <c r="F42" i="19"/>
  <c r="D42" i="19"/>
  <c r="O41" i="19"/>
  <c r="M41" i="19"/>
  <c r="G41" i="19"/>
  <c r="H41" i="19" s="1"/>
  <c r="F41" i="19"/>
  <c r="D41" i="19"/>
  <c r="O40" i="19"/>
  <c r="M40" i="19"/>
  <c r="G40" i="19"/>
  <c r="H40" i="19" s="1"/>
  <c r="F40" i="19"/>
  <c r="D40" i="19"/>
  <c r="O39" i="19"/>
  <c r="M39" i="19"/>
  <c r="G39" i="19"/>
  <c r="H39" i="19" s="1"/>
  <c r="F39" i="19"/>
  <c r="D39" i="19"/>
  <c r="O38" i="19"/>
  <c r="M38" i="19"/>
  <c r="G38" i="19"/>
  <c r="H38" i="19" s="1"/>
  <c r="F38" i="19"/>
  <c r="D38" i="19"/>
  <c r="O37" i="19"/>
  <c r="M37" i="19"/>
  <c r="G37" i="19"/>
  <c r="H37" i="19" s="1"/>
  <c r="F37" i="19"/>
  <c r="D37" i="19"/>
  <c r="O36" i="19"/>
  <c r="M36" i="19"/>
  <c r="G36" i="19"/>
  <c r="H36" i="19" s="1"/>
  <c r="F36" i="19"/>
  <c r="D36" i="19"/>
  <c r="O35" i="19"/>
  <c r="M35" i="19"/>
  <c r="G35" i="19"/>
  <c r="H35" i="19" s="1"/>
  <c r="F35" i="19"/>
  <c r="D35" i="19"/>
  <c r="O34" i="19"/>
  <c r="M34" i="19"/>
  <c r="G34" i="19"/>
  <c r="H34" i="19" s="1"/>
  <c r="F34" i="19"/>
  <c r="D34" i="19"/>
  <c r="O33" i="19"/>
  <c r="M33" i="19"/>
  <c r="G33" i="19"/>
  <c r="H33" i="19" s="1"/>
  <c r="F33" i="19"/>
  <c r="D33" i="19"/>
  <c r="O32" i="19"/>
  <c r="M32" i="19"/>
  <c r="G32" i="19"/>
  <c r="H32" i="19" s="1"/>
  <c r="F32" i="19"/>
  <c r="D32" i="19"/>
  <c r="O31" i="19"/>
  <c r="M31" i="19"/>
  <c r="G31" i="19"/>
  <c r="H31" i="19" s="1"/>
  <c r="F31" i="19"/>
  <c r="D31" i="19"/>
  <c r="O30" i="19"/>
  <c r="M30" i="19"/>
  <c r="G30" i="19"/>
  <c r="H30" i="19" s="1"/>
  <c r="F30" i="19"/>
  <c r="D30" i="19"/>
  <c r="O29" i="19"/>
  <c r="M29" i="19"/>
  <c r="G29" i="19"/>
  <c r="H29" i="19" s="1"/>
  <c r="F29" i="19"/>
  <c r="D29" i="19"/>
  <c r="O28" i="19"/>
  <c r="M28" i="19"/>
  <c r="G28" i="19"/>
  <c r="H28" i="19" s="1"/>
  <c r="F28" i="19"/>
  <c r="D28" i="19"/>
  <c r="O27" i="19"/>
  <c r="M27" i="19"/>
  <c r="G27" i="19"/>
  <c r="H27" i="19" s="1"/>
  <c r="F27" i="19"/>
  <c r="D27" i="19"/>
  <c r="O26" i="19"/>
  <c r="M26" i="19"/>
  <c r="G26" i="19"/>
  <c r="H26" i="19" s="1"/>
  <c r="F26" i="19"/>
  <c r="D26" i="19"/>
  <c r="O25" i="19"/>
  <c r="M25" i="19"/>
  <c r="G25" i="19"/>
  <c r="H25" i="19" s="1"/>
  <c r="F25" i="19"/>
  <c r="D25" i="19"/>
  <c r="O24" i="19"/>
  <c r="M24" i="19"/>
  <c r="G24" i="19"/>
  <c r="H24" i="19" s="1"/>
  <c r="F24" i="19"/>
  <c r="D24" i="19"/>
  <c r="O23" i="19"/>
  <c r="M23" i="19"/>
  <c r="G23" i="19"/>
  <c r="H23" i="19" s="1"/>
  <c r="F23" i="19"/>
  <c r="D23" i="19"/>
  <c r="O22" i="19"/>
  <c r="M22" i="19"/>
  <c r="G22" i="19"/>
  <c r="H22" i="19" s="1"/>
  <c r="F22" i="19"/>
  <c r="D22" i="19"/>
  <c r="O21" i="19"/>
  <c r="M21" i="19"/>
  <c r="G21" i="19"/>
  <c r="H21" i="19" s="1"/>
  <c r="F21" i="19"/>
  <c r="D21" i="19"/>
  <c r="O20" i="19"/>
  <c r="M20" i="19"/>
  <c r="G20" i="19"/>
  <c r="H20" i="19" s="1"/>
  <c r="F20" i="19"/>
  <c r="D20" i="19"/>
  <c r="O19" i="19"/>
  <c r="M19" i="19"/>
  <c r="G19" i="19"/>
  <c r="H19" i="19" s="1"/>
  <c r="F19" i="19"/>
  <c r="D19" i="19"/>
  <c r="O18" i="19"/>
  <c r="G18" i="19"/>
  <c r="H18" i="19" s="1"/>
  <c r="F18" i="19"/>
  <c r="D18" i="19"/>
  <c r="AT24" i="19" l="1"/>
  <c r="AT34" i="19"/>
  <c r="AT40" i="19"/>
  <c r="AT27" i="19"/>
  <c r="AT37" i="19"/>
  <c r="AT21" i="19"/>
  <c r="AT43" i="19"/>
  <c r="AT41" i="19"/>
  <c r="AT25" i="19"/>
  <c r="AT32" i="19"/>
  <c r="AT26" i="19"/>
  <c r="AT29" i="19"/>
  <c r="AT33" i="19"/>
  <c r="AT35" i="19"/>
  <c r="AT42" i="19"/>
  <c r="AT52" i="19"/>
  <c r="AT64" i="19"/>
  <c r="AT68" i="19"/>
  <c r="AT80" i="19"/>
  <c r="AT92" i="19"/>
  <c r="AT55" i="19"/>
  <c r="AT59" i="19"/>
  <c r="AT71" i="19"/>
  <c r="AT30" i="19"/>
  <c r="AT38" i="19"/>
  <c r="AT50" i="19"/>
  <c r="AT54" i="19"/>
  <c r="AT58" i="19"/>
  <c r="AT62" i="19"/>
  <c r="AT66" i="19"/>
  <c r="AT70" i="19"/>
  <c r="AT74" i="19"/>
  <c r="AT78" i="19"/>
  <c r="AT82" i="19"/>
  <c r="AT90" i="19"/>
  <c r="AT94" i="19"/>
  <c r="AT18" i="19"/>
  <c r="AT56" i="19"/>
  <c r="AT60" i="19"/>
  <c r="AT72" i="19"/>
  <c r="AT76" i="19"/>
  <c r="AT88" i="19"/>
  <c r="AT51" i="19"/>
  <c r="AT63" i="19"/>
  <c r="AT67" i="19"/>
  <c r="AT19" i="19"/>
  <c r="AT22" i="19"/>
  <c r="AT20" i="19"/>
  <c r="AT23" i="19"/>
  <c r="AT28" i="19"/>
  <c r="AT31" i="19"/>
  <c r="AT36" i="19"/>
  <c r="AT39" i="19"/>
  <c r="AT49" i="19"/>
  <c r="AT53" i="19"/>
  <c r="AT57" i="19"/>
  <c r="AT61" i="19"/>
  <c r="AT65" i="19"/>
  <c r="AT69" i="19"/>
  <c r="AT73" i="19"/>
  <c r="AT75" i="19"/>
  <c r="AT77" i="19"/>
  <c r="AT79" i="19"/>
  <c r="AT81" i="19"/>
  <c r="AT83" i="19"/>
  <c r="AT89" i="19"/>
  <c r="AT91" i="19"/>
  <c r="AT93" i="19"/>
  <c r="AT95" i="19"/>
  <c r="J40" i="14" l="1"/>
  <c r="J43" i="14"/>
  <c r="J49" i="14"/>
  <c r="J52" i="14"/>
  <c r="J53" i="14"/>
  <c r="J50" i="14"/>
  <c r="J45" i="14"/>
  <c r="J48" i="14"/>
  <c r="J51" i="14"/>
  <c r="J46" i="14"/>
  <c r="J44" i="14"/>
  <c r="J47" i="14"/>
  <c r="J41" i="14"/>
  <c r="D14" i="17"/>
  <c r="C12" i="17"/>
  <c r="D15" i="17"/>
  <c r="C15" i="17"/>
  <c r="C14" i="17"/>
  <c r="D13" i="17"/>
  <c r="C13" i="17"/>
  <c r="D12" i="17"/>
  <c r="C16" i="17" l="1"/>
  <c r="E13" i="17" s="1"/>
  <c r="D16" i="17"/>
  <c r="F12" i="17" s="1"/>
  <c r="E15" i="17" l="1"/>
  <c r="E12" i="17"/>
  <c r="G16" i="17" s="1"/>
  <c r="K13" i="17" s="1"/>
  <c r="F13" i="17"/>
  <c r="F14" i="17"/>
  <c r="E14" i="17"/>
  <c r="F15" i="17"/>
  <c r="H16" i="17" l="1"/>
  <c r="K14" i="17" s="1"/>
  <c r="L14" i="17" s="1"/>
  <c r="E16" i="17"/>
  <c r="F16" i="17"/>
  <c r="L13" i="17"/>
  <c r="AJ5" i="15" l="1"/>
  <c r="AJ6" i="15"/>
  <c r="AJ7" i="15"/>
  <c r="AJ8" i="15"/>
  <c r="AJ9" i="15"/>
  <c r="AJ10"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3" i="15"/>
  <c r="AJ74" i="15"/>
  <c r="AJ75" i="15"/>
  <c r="AJ76" i="15"/>
  <c r="AJ77" i="15"/>
  <c r="AJ72" i="15"/>
  <c r="AJ71" i="15"/>
  <c r="C78" i="14"/>
  <c r="C77" i="14"/>
  <c r="C76" i="14"/>
  <c r="C75" i="14"/>
  <c r="C74" i="14"/>
  <c r="C73" i="14"/>
  <c r="C72" i="14"/>
  <c r="K30" i="14"/>
  <c r="D78" i="14" s="1"/>
  <c r="D29" i="14"/>
  <c r="K29" i="14" s="1"/>
  <c r="D77" i="14" s="1"/>
  <c r="K28" i="14"/>
  <c r="K27" i="14"/>
  <c r="K26" i="14"/>
  <c r="K25" i="14"/>
  <c r="D24" i="14"/>
  <c r="K24" i="14" s="1"/>
  <c r="D23" i="14"/>
  <c r="K23" i="14" s="1"/>
  <c r="K22" i="14"/>
  <c r="B17" i="13"/>
  <c r="H16" i="13"/>
  <c r="D16" i="13" s="1"/>
  <c r="G16" i="13"/>
  <c r="C16" i="13" s="1"/>
  <c r="H15" i="13"/>
  <c r="D15" i="13" s="1"/>
  <c r="G15" i="13"/>
  <c r="C15" i="13" s="1"/>
  <c r="H14" i="13"/>
  <c r="D14" i="13" s="1"/>
  <c r="G14" i="13"/>
  <c r="C14" i="13" s="1"/>
  <c r="H13" i="13"/>
  <c r="D13" i="13" s="1"/>
  <c r="G13" i="13"/>
  <c r="C13" i="13" s="1"/>
  <c r="H122" i="12"/>
  <c r="F122" i="12"/>
  <c r="E122" i="12"/>
  <c r="G121" i="12"/>
  <c r="I121" i="12" s="1"/>
  <c r="G120" i="12"/>
  <c r="I120" i="12" s="1"/>
  <c r="G119" i="12"/>
  <c r="I119" i="12" s="1"/>
  <c r="G118" i="12"/>
  <c r="I118" i="12" s="1"/>
  <c r="G117" i="12"/>
  <c r="I117" i="12" s="1"/>
  <c r="G116" i="12"/>
  <c r="I116" i="12" s="1"/>
  <c r="G115" i="12"/>
  <c r="I115" i="12" s="1"/>
  <c r="G114" i="12"/>
  <c r="I114" i="12" s="1"/>
  <c r="G113" i="12"/>
  <c r="I113" i="12" s="1"/>
  <c r="G112" i="12"/>
  <c r="I112" i="12" s="1"/>
  <c r="G111" i="12"/>
  <c r="I111" i="12" s="1"/>
  <c r="G110" i="12"/>
  <c r="I110" i="12" s="1"/>
  <c r="G109" i="12"/>
  <c r="I109" i="12" s="1"/>
  <c r="G108" i="12"/>
  <c r="I108" i="12" s="1"/>
  <c r="G107" i="12"/>
  <c r="I107" i="12" s="1"/>
  <c r="G106" i="12"/>
  <c r="I106" i="12" s="1"/>
  <c r="G105" i="12"/>
  <c r="I105" i="12" s="1"/>
  <c r="G104" i="12"/>
  <c r="I104" i="12" s="1"/>
  <c r="G103" i="12"/>
  <c r="I103" i="12" s="1"/>
  <c r="G102" i="12"/>
  <c r="I102" i="12" s="1"/>
  <c r="I101" i="12"/>
  <c r="I100" i="12"/>
  <c r="I99" i="12"/>
  <c r="I98" i="12"/>
  <c r="H79" i="12"/>
  <c r="H80" i="12" s="1"/>
  <c r="F79" i="12"/>
  <c r="E79" i="12"/>
  <c r="D79" i="12"/>
  <c r="C79" i="12"/>
  <c r="I78" i="12"/>
  <c r="I77" i="12"/>
  <c r="I76" i="12"/>
  <c r="I75" i="12"/>
  <c r="I74" i="12"/>
  <c r="I73" i="12"/>
  <c r="I72" i="12"/>
  <c r="I71" i="12"/>
  <c r="I70" i="12"/>
  <c r="I69" i="12"/>
  <c r="I68" i="12"/>
  <c r="G67" i="12"/>
  <c r="I67" i="12" s="1"/>
  <c r="G66" i="12"/>
  <c r="I66" i="12" s="1"/>
  <c r="G65" i="12"/>
  <c r="I65" i="12" s="1"/>
  <c r="G64" i="12"/>
  <c r="I64" i="12" s="1"/>
  <c r="G63" i="12"/>
  <c r="I63" i="12" s="1"/>
  <c r="G62" i="12"/>
  <c r="I62" i="12" s="1"/>
  <c r="G61" i="12"/>
  <c r="I61" i="12" s="1"/>
  <c r="G60" i="12"/>
  <c r="I60" i="12" s="1"/>
  <c r="G59" i="12"/>
  <c r="I59" i="12" s="1"/>
  <c r="G58" i="12"/>
  <c r="I58" i="12" s="1"/>
  <c r="G57" i="12"/>
  <c r="I57" i="12" s="1"/>
  <c r="G56" i="12"/>
  <c r="I56" i="12" s="1"/>
  <c r="G55" i="12"/>
  <c r="I55" i="12" s="1"/>
  <c r="G54" i="12"/>
  <c r="I54" i="12" s="1"/>
  <c r="G53" i="12"/>
  <c r="I53" i="12" s="1"/>
  <c r="G52" i="12"/>
  <c r="I52" i="12" s="1"/>
  <c r="G51" i="12"/>
  <c r="I51" i="12" s="1"/>
  <c r="G50" i="12"/>
  <c r="I50" i="12" s="1"/>
  <c r="G49" i="12"/>
  <c r="I49" i="12" s="1"/>
  <c r="G48" i="12"/>
  <c r="I48" i="12" s="1"/>
  <c r="G47" i="12"/>
  <c r="I47" i="12" s="1"/>
  <c r="G46" i="12"/>
  <c r="I46" i="12" s="1"/>
  <c r="G45" i="12"/>
  <c r="I45" i="12" s="1"/>
  <c r="G44" i="12"/>
  <c r="I44" i="12" s="1"/>
  <c r="G43" i="12"/>
  <c r="I43" i="12" s="1"/>
  <c r="G42" i="12"/>
  <c r="I42" i="12" s="1"/>
  <c r="G41" i="12"/>
  <c r="I41" i="12" s="1"/>
  <c r="G40" i="12"/>
  <c r="I40" i="12" s="1"/>
  <c r="G39" i="12"/>
  <c r="I39" i="12" s="1"/>
  <c r="G38" i="12"/>
  <c r="I38" i="12" s="1"/>
  <c r="G37" i="12"/>
  <c r="I37" i="12" s="1"/>
  <c r="G36" i="12"/>
  <c r="I36" i="12" s="1"/>
  <c r="G35" i="12"/>
  <c r="I35" i="12" s="1"/>
  <c r="G34" i="12"/>
  <c r="I34" i="12" s="1"/>
  <c r="G33" i="12"/>
  <c r="I33" i="12" s="1"/>
  <c r="G32" i="12"/>
  <c r="I32" i="12" s="1"/>
  <c r="G31" i="12"/>
  <c r="I31" i="12" s="1"/>
  <c r="G30" i="12"/>
  <c r="I30" i="12" s="1"/>
  <c r="G29" i="12"/>
  <c r="I29" i="12" s="1"/>
  <c r="G28" i="12"/>
  <c r="I28" i="12" s="1"/>
  <c r="G27" i="12"/>
  <c r="I27" i="12" s="1"/>
  <c r="G26" i="12"/>
  <c r="I26" i="12" s="1"/>
  <c r="G25" i="12"/>
  <c r="I25" i="12" s="1"/>
  <c r="G24" i="12"/>
  <c r="T33" i="11"/>
  <c r="T32" i="11"/>
  <c r="T31" i="11"/>
  <c r="T30" i="11"/>
  <c r="T29" i="11"/>
  <c r="T28" i="11"/>
  <c r="T27" i="11"/>
  <c r="T26" i="11"/>
  <c r="D93" i="10"/>
  <c r="D92" i="10"/>
  <c r="D91" i="10"/>
  <c r="D90" i="10"/>
  <c r="D89" i="10"/>
  <c r="D88" i="10"/>
  <c r="D87" i="10"/>
  <c r="D86" i="10"/>
  <c r="F65" i="10"/>
  <c r="F64" i="10"/>
  <c r="F63" i="10"/>
  <c r="F62" i="10"/>
  <c r="F22" i="10"/>
  <c r="D22" i="10"/>
  <c r="C22" i="10"/>
  <c r="A22" i="10"/>
  <c r="Q18" i="6"/>
  <c r="E51" i="9" l="1"/>
  <c r="G150" i="12"/>
  <c r="C59" i="9"/>
  <c r="B51" i="9"/>
  <c r="C51" i="9" s="1"/>
  <c r="D150" i="27"/>
  <c r="D73" i="14"/>
  <c r="U21" i="11"/>
  <c r="L16" i="11" s="1"/>
  <c r="I25" i="24" s="1"/>
  <c r="H71" i="14"/>
  <c r="I71" i="14" s="1"/>
  <c r="H77" i="14"/>
  <c r="I77" i="14" s="1"/>
  <c r="F77" i="14"/>
  <c r="G77" i="14" s="1"/>
  <c r="H78" i="14"/>
  <c r="I78" i="14" s="1"/>
  <c r="F78" i="14"/>
  <c r="D76" i="14"/>
  <c r="D74" i="14"/>
  <c r="D75" i="14"/>
  <c r="H125" i="12"/>
  <c r="D80" i="12"/>
  <c r="D122" i="12"/>
  <c r="D13" i="12" s="1"/>
  <c r="G79" i="12"/>
  <c r="G80" i="12" s="1"/>
  <c r="A25" i="10"/>
  <c r="D72" i="14" s="1"/>
  <c r="D17" i="13"/>
  <c r="F13" i="13" s="1"/>
  <c r="C17" i="13"/>
  <c r="E14" i="13" s="1"/>
  <c r="I14" i="13" s="1"/>
  <c r="I122" i="12"/>
  <c r="G122" i="12"/>
  <c r="I24" i="12"/>
  <c r="I79" i="12" s="1"/>
  <c r="H123" i="12"/>
  <c r="H73" i="14" l="1"/>
  <c r="I73" i="14" s="1"/>
  <c r="J73" i="14" s="1"/>
  <c r="K73" i="14" s="1"/>
  <c r="D79" i="14"/>
  <c r="F51" i="9"/>
  <c r="D59" i="9" s="1"/>
  <c r="D150" i="12"/>
  <c r="D58" i="9"/>
  <c r="L18" i="11"/>
  <c r="I18" i="11"/>
  <c r="F73" i="14"/>
  <c r="G73" i="14" s="1"/>
  <c r="O71" i="14"/>
  <c r="N71" i="14"/>
  <c r="F71" i="14"/>
  <c r="L78" i="14"/>
  <c r="M78" i="14"/>
  <c r="J78" i="14"/>
  <c r="K78" i="14" s="1"/>
  <c r="O78" i="14"/>
  <c r="N78" i="14"/>
  <c r="M77" i="14"/>
  <c r="N77" i="14"/>
  <c r="O77" i="14"/>
  <c r="J77" i="14"/>
  <c r="K77" i="14" s="1"/>
  <c r="L77" i="14"/>
  <c r="H75" i="14"/>
  <c r="I75" i="14" s="1"/>
  <c r="F75" i="14"/>
  <c r="G75" i="14" s="1"/>
  <c r="H74" i="14"/>
  <c r="I74" i="14" s="1"/>
  <c r="F74" i="14"/>
  <c r="G74" i="14" s="1"/>
  <c r="F76" i="14"/>
  <c r="G76" i="14" s="1"/>
  <c r="H76" i="14"/>
  <c r="I76" i="14" s="1"/>
  <c r="J71" i="14"/>
  <c r="K71" i="14" s="1"/>
  <c r="C25" i="10"/>
  <c r="E13" i="13"/>
  <c r="I13" i="13" s="1"/>
  <c r="E16" i="13"/>
  <c r="I16" i="13" s="1"/>
  <c r="E15" i="13"/>
  <c r="I15" i="13" s="1"/>
  <c r="G78" i="14"/>
  <c r="J13" i="13"/>
  <c r="F16" i="13"/>
  <c r="J16" i="13" s="1"/>
  <c r="F15" i="13"/>
  <c r="J15" i="13" s="1"/>
  <c r="F14" i="13"/>
  <c r="J14" i="13" s="1"/>
  <c r="G125" i="12"/>
  <c r="I125" i="12" s="1"/>
  <c r="G123" i="12"/>
  <c r="I123" i="12"/>
  <c r="H124" i="12"/>
  <c r="I80" i="12"/>
  <c r="E61" i="10"/>
  <c r="F61" i="10" s="1"/>
  <c r="E71" i="10"/>
  <c r="F71" i="10" s="1"/>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26" i="5"/>
  <c r="G25" i="5"/>
  <c r="F97" i="5"/>
  <c r="D97" i="5"/>
  <c r="E27" i="5" s="1"/>
  <c r="C97" i="5"/>
  <c r="C114" i="5"/>
  <c r="D120" i="5" s="1"/>
  <c r="B114" i="5"/>
  <c r="C106" i="5"/>
  <c r="D118" i="5" s="1"/>
  <c r="B106" i="5"/>
  <c r="C118" i="5" s="1"/>
  <c r="G11" i="5"/>
  <c r="G12" i="5"/>
  <c r="G13" i="5"/>
  <c r="G14" i="5"/>
  <c r="G15" i="5"/>
  <c r="G16" i="5"/>
  <c r="G17" i="5"/>
  <c r="G18" i="5"/>
  <c r="G19" i="5"/>
  <c r="G20" i="5"/>
  <c r="G10" i="5"/>
  <c r="F21" i="5"/>
  <c r="D21" i="5"/>
  <c r="E11" i="5" s="1"/>
  <c r="C21" i="5"/>
  <c r="L73" i="14" l="1"/>
  <c r="O73" i="14"/>
  <c r="M73" i="14"/>
  <c r="N73" i="14"/>
  <c r="Q58" i="9"/>
  <c r="K59" i="9"/>
  <c r="I59" i="9"/>
  <c r="G59" i="9"/>
  <c r="D60" i="9"/>
  <c r="E150" i="27"/>
  <c r="I150" i="27"/>
  <c r="C141" i="27" s="1"/>
  <c r="H150" i="27"/>
  <c r="P59" i="9"/>
  <c r="E150" i="12"/>
  <c r="H150" i="12"/>
  <c r="D142" i="12" s="1"/>
  <c r="G51" i="9"/>
  <c r="I150" i="12" s="1"/>
  <c r="E118" i="5"/>
  <c r="D117" i="5"/>
  <c r="D121" i="5" s="1"/>
  <c r="D16" i="3"/>
  <c r="C120" i="5"/>
  <c r="E120" i="5" s="1"/>
  <c r="L27" i="24"/>
  <c r="G71" i="14"/>
  <c r="H72" i="14"/>
  <c r="I72" i="14" s="1"/>
  <c r="O76" i="14"/>
  <c r="M76" i="14"/>
  <c r="J76" i="14"/>
  <c r="K76" i="14" s="1"/>
  <c r="N76" i="14"/>
  <c r="L76" i="14"/>
  <c r="N75" i="14"/>
  <c r="M75" i="14"/>
  <c r="J75" i="14"/>
  <c r="K75" i="14" s="1"/>
  <c r="L75" i="14"/>
  <c r="O75" i="14"/>
  <c r="J74" i="14"/>
  <c r="K74" i="14" s="1"/>
  <c r="L74" i="14"/>
  <c r="N74" i="14"/>
  <c r="O74" i="14"/>
  <c r="M74" i="14"/>
  <c r="F72" i="14"/>
  <c r="F79" i="14" s="1"/>
  <c r="L71" i="14"/>
  <c r="M71" i="14"/>
  <c r="I17" i="13"/>
  <c r="E17" i="13"/>
  <c r="F17" i="13"/>
  <c r="J17" i="13"/>
  <c r="G124" i="12"/>
  <c r="I124" i="12" s="1"/>
  <c r="L59" i="9"/>
  <c r="E91" i="5"/>
  <c r="G97" i="5"/>
  <c r="E68" i="5"/>
  <c r="E46" i="5"/>
  <c r="E31" i="5"/>
  <c r="D18" i="3"/>
  <c r="E95" i="5"/>
  <c r="E80" i="5"/>
  <c r="E58" i="5"/>
  <c r="E43" i="5"/>
  <c r="E69" i="5"/>
  <c r="E47" i="5"/>
  <c r="E32" i="5"/>
  <c r="E83" i="5"/>
  <c r="E94" i="5"/>
  <c r="E79" i="5"/>
  <c r="E57" i="5"/>
  <c r="E35" i="5"/>
  <c r="E93" i="5"/>
  <c r="E82" i="5"/>
  <c r="E71" i="5"/>
  <c r="E67" i="5"/>
  <c r="E56" i="5"/>
  <c r="E45" i="5"/>
  <c r="E34" i="5"/>
  <c r="D17" i="3"/>
  <c r="E92" i="5"/>
  <c r="E81" i="5"/>
  <c r="E70" i="5"/>
  <c r="E59" i="5"/>
  <c r="E55" i="5"/>
  <c r="E44" i="5"/>
  <c r="E33" i="5"/>
  <c r="E86" i="5"/>
  <c r="E74" i="5"/>
  <c r="E62" i="5"/>
  <c r="E50" i="5"/>
  <c r="E38" i="5"/>
  <c r="E26" i="5"/>
  <c r="E25" i="5"/>
  <c r="E85" i="5"/>
  <c r="E73" i="5"/>
  <c r="E61" i="5"/>
  <c r="E49" i="5"/>
  <c r="E37" i="5"/>
  <c r="E96" i="5"/>
  <c r="E84" i="5"/>
  <c r="E72" i="5"/>
  <c r="E60" i="5"/>
  <c r="E48" i="5"/>
  <c r="E36" i="5"/>
  <c r="C117" i="5"/>
  <c r="E90" i="5"/>
  <c r="E78" i="5"/>
  <c r="E66" i="5"/>
  <c r="E54" i="5"/>
  <c r="E42" i="5"/>
  <c r="E30" i="5"/>
  <c r="E15" i="5"/>
  <c r="E89" i="5"/>
  <c r="E77" i="5"/>
  <c r="E65" i="5"/>
  <c r="E53" i="5"/>
  <c r="E41" i="5"/>
  <c r="E29" i="5"/>
  <c r="E88" i="5"/>
  <c r="E76" i="5"/>
  <c r="E64" i="5"/>
  <c r="E52" i="5"/>
  <c r="E40" i="5"/>
  <c r="E28" i="5"/>
  <c r="E87" i="5"/>
  <c r="E75" i="5"/>
  <c r="E63" i="5"/>
  <c r="E51" i="5"/>
  <c r="E39" i="5"/>
  <c r="G21" i="5"/>
  <c r="E20" i="5"/>
  <c r="E17" i="5"/>
  <c r="E10" i="5"/>
  <c r="E16" i="5"/>
  <c r="E19" i="5"/>
  <c r="E18" i="5"/>
  <c r="E14" i="5"/>
  <c r="E13" i="5"/>
  <c r="E12"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G79" i="14" l="1"/>
  <c r="X59" i="9"/>
  <c r="W59" i="9"/>
  <c r="P60" i="9"/>
  <c r="K142" i="12"/>
  <c r="S59" i="9"/>
  <c r="U59" i="9"/>
  <c r="G141" i="27"/>
  <c r="K141" i="27"/>
  <c r="G142" i="27"/>
  <c r="K142" i="27"/>
  <c r="D141" i="27"/>
  <c r="D142" i="27"/>
  <c r="J142" i="27"/>
  <c r="C142" i="27"/>
  <c r="J141" i="27"/>
  <c r="F141" i="27"/>
  <c r="F142" i="27"/>
  <c r="K141" i="12"/>
  <c r="F141" i="12"/>
  <c r="C142" i="12"/>
  <c r="J142" i="12"/>
  <c r="F142" i="12"/>
  <c r="C141" i="12"/>
  <c r="J141" i="12"/>
  <c r="I60" i="9"/>
  <c r="K60" i="9"/>
  <c r="G60" i="9"/>
  <c r="G141" i="12"/>
  <c r="D141" i="12"/>
  <c r="D144" i="12" s="1"/>
  <c r="G142" i="12"/>
  <c r="C121" i="5"/>
  <c r="E117" i="5"/>
  <c r="K25" i="24"/>
  <c r="I18" i="24"/>
  <c r="L72" i="14"/>
  <c r="N72" i="14"/>
  <c r="J72" i="14"/>
  <c r="K72" i="14" s="1"/>
  <c r="M72" i="14"/>
  <c r="O72" i="14"/>
  <c r="D86" i="14"/>
  <c r="D90" i="14" s="1"/>
  <c r="G72" i="14"/>
  <c r="I18" i="13"/>
  <c r="G18" i="13" s="1"/>
  <c r="L60" i="9"/>
  <c r="D19" i="3"/>
  <c r="B7" i="26" s="1"/>
  <c r="E97" i="5"/>
  <c r="E21" i="5"/>
  <c r="F144" i="12" l="1"/>
  <c r="I159" i="12" s="1"/>
  <c r="W60" i="9"/>
  <c r="X60" i="9"/>
  <c r="C144" i="12"/>
  <c r="H159" i="12" s="1"/>
  <c r="J144" i="12"/>
  <c r="J159" i="12" s="1"/>
  <c r="G18" i="24"/>
  <c r="K144" i="12"/>
  <c r="I160" i="12" s="1"/>
  <c r="G144" i="27"/>
  <c r="G144" i="12"/>
  <c r="C144" i="27"/>
  <c r="I158" i="12"/>
  <c r="U60" i="9"/>
  <c r="S60" i="9"/>
  <c r="F144" i="27"/>
  <c r="D144" i="27"/>
  <c r="K144" i="27"/>
  <c r="I160" i="27" s="1"/>
  <c r="J144" i="27"/>
  <c r="E121" i="5"/>
  <c r="L17" i="24"/>
  <c r="C86" i="14"/>
  <c r="C87" i="14" s="1"/>
  <c r="E86" i="14"/>
  <c r="E89" i="14" s="1"/>
  <c r="D89" i="14"/>
  <c r="D88" i="14"/>
  <c r="D87" i="14"/>
  <c r="D99" i="14" s="1"/>
  <c r="F25" i="3"/>
  <c r="E25" i="3"/>
  <c r="D25" i="3"/>
  <c r="C25" i="3"/>
  <c r="I157" i="12" l="1"/>
  <c r="H158" i="12"/>
  <c r="H157" i="12"/>
  <c r="J158" i="12"/>
  <c r="H160" i="12"/>
  <c r="J157" i="12"/>
  <c r="G163" i="12" s="1"/>
  <c r="H163" i="12" s="1"/>
  <c r="H12" i="24" s="1"/>
  <c r="K12" i="24" s="1"/>
  <c r="H158" i="27"/>
  <c r="H159" i="27"/>
  <c r="H157" i="27"/>
  <c r="I157" i="27"/>
  <c r="I159" i="27"/>
  <c r="I158" i="27"/>
  <c r="J159" i="27"/>
  <c r="J157" i="27"/>
  <c r="J158" i="27"/>
  <c r="H160" i="27"/>
  <c r="E90" i="14"/>
  <c r="E88" i="14"/>
  <c r="C89" i="14"/>
  <c r="C90" i="14"/>
  <c r="C88" i="14"/>
  <c r="E87" i="14"/>
  <c r="B24" i="3"/>
  <c r="B8" i="26" s="1"/>
  <c r="B25" i="3"/>
  <c r="H164" i="12" l="1"/>
  <c r="L13" i="24"/>
  <c r="T12" i="24"/>
  <c r="U12" i="24" s="1"/>
  <c r="V12" i="24" s="1"/>
  <c r="G163" i="27"/>
  <c r="H163" i="27" s="1"/>
  <c r="H14" i="24" s="1"/>
  <c r="E72" i="26"/>
  <c r="BJ74" i="26"/>
  <c r="BJ78" i="26" s="1"/>
  <c r="I74" i="26"/>
  <c r="I78" i="26" s="1"/>
  <c r="BB73" i="26"/>
  <c r="BB77" i="26" s="1"/>
  <c r="CY72" i="26"/>
  <c r="BK72" i="26"/>
  <c r="W72" i="26"/>
  <c r="CU72" i="26"/>
  <c r="S72" i="26"/>
  <c r="CQ72" i="26"/>
  <c r="CL72" i="26"/>
  <c r="G72" i="26"/>
  <c r="CE74" i="26"/>
  <c r="CE78" i="26" s="1"/>
  <c r="CD74" i="26"/>
  <c r="CD78" i="26" s="1"/>
  <c r="BZ72" i="26"/>
  <c r="BZ74" i="26"/>
  <c r="BZ78" i="26" s="1"/>
  <c r="Q73" i="26"/>
  <c r="Q77" i="26" s="1"/>
  <c r="AD72" i="26"/>
  <c r="BI74" i="26"/>
  <c r="BI78" i="26" s="1"/>
  <c r="G74" i="26"/>
  <c r="G78" i="26" s="1"/>
  <c r="BA73" i="26"/>
  <c r="BA77" i="26" s="1"/>
  <c r="CX72" i="26"/>
  <c r="BJ72" i="26"/>
  <c r="V72" i="26"/>
  <c r="BE74" i="26"/>
  <c r="BE78" i="26" s="1"/>
  <c r="CX73" i="26"/>
  <c r="CX77" i="26" s="1"/>
  <c r="AW73" i="26"/>
  <c r="AW77" i="26" s="1"/>
  <c r="BG72" i="26"/>
  <c r="AY74" i="26"/>
  <c r="AY78" i="26" s="1"/>
  <c r="CS73" i="26"/>
  <c r="CS77" i="26" s="1"/>
  <c r="AR73" i="26"/>
  <c r="AR77" i="26" s="1"/>
  <c r="BC72" i="26"/>
  <c r="O72" i="26"/>
  <c r="K72" i="26"/>
  <c r="J72" i="26"/>
  <c r="AO74" i="26"/>
  <c r="AO78" i="26" s="1"/>
  <c r="CH73" i="26"/>
  <c r="CH77" i="26" s="1"/>
  <c r="AG73" i="26"/>
  <c r="AG77" i="26" s="1"/>
  <c r="CI72" i="26"/>
  <c r="AU72" i="26"/>
  <c r="AD74" i="26"/>
  <c r="AD78" i="26" s="1"/>
  <c r="BV73" i="26"/>
  <c r="BV77" i="26" s="1"/>
  <c r="AL72" i="26"/>
  <c r="BY74" i="26"/>
  <c r="BY78" i="26" s="1"/>
  <c r="AH72" i="26"/>
  <c r="BL73" i="26"/>
  <c r="BL77" i="26" s="1"/>
  <c r="BO72" i="26"/>
  <c r="M74" i="26"/>
  <c r="M78" i="26" s="1"/>
  <c r="CQ74" i="26"/>
  <c r="CQ78" i="26" s="1"/>
  <c r="BC74" i="26"/>
  <c r="BC78" i="26" s="1"/>
  <c r="CW73" i="26"/>
  <c r="CW77" i="26" s="1"/>
  <c r="AV73" i="26"/>
  <c r="AV77" i="26" s="1"/>
  <c r="CT72" i="26"/>
  <c r="BF72" i="26"/>
  <c r="R72" i="26"/>
  <c r="BQ73" i="26"/>
  <c r="BQ77" i="26" s="1"/>
  <c r="BO74" i="26"/>
  <c r="BO78" i="26" s="1"/>
  <c r="CY74" i="26"/>
  <c r="CY78" i="26" s="1"/>
  <c r="AX74" i="26"/>
  <c r="AX78" i="26" s="1"/>
  <c r="CR73" i="26"/>
  <c r="CR77" i="26" s="1"/>
  <c r="AP73" i="26"/>
  <c r="AP77" i="26" s="1"/>
  <c r="CP72" i="26"/>
  <c r="BB72" i="26"/>
  <c r="N72" i="26"/>
  <c r="CU74" i="26"/>
  <c r="CU78" i="26" s="1"/>
  <c r="AT74" i="26"/>
  <c r="AT78" i="26" s="1"/>
  <c r="CN73" i="26"/>
  <c r="CN77" i="26" s="1"/>
  <c r="AL73" i="26"/>
  <c r="AL77" i="26" s="1"/>
  <c r="CM72" i="26"/>
  <c r="AY72" i="26"/>
  <c r="CT74" i="26"/>
  <c r="CT78" i="26" s="1"/>
  <c r="AS74" i="26"/>
  <c r="AS78" i="26" s="1"/>
  <c r="CL73" i="26"/>
  <c r="CL77" i="26" s="1"/>
  <c r="AK73" i="26"/>
  <c r="AK77" i="26" s="1"/>
  <c r="AX72" i="26"/>
  <c r="BR73" i="26"/>
  <c r="BR77" i="26" s="1"/>
  <c r="AI72" i="26"/>
  <c r="W74" i="26"/>
  <c r="W78" i="26" s="1"/>
  <c r="BS74" i="26"/>
  <c r="BS78" i="26" s="1"/>
  <c r="AA72" i="26"/>
  <c r="BN74" i="26"/>
  <c r="BN78" i="26" s="1"/>
  <c r="BN72" i="26"/>
  <c r="CP74" i="26"/>
  <c r="CP78" i="26" s="1"/>
  <c r="Y74" i="26"/>
  <c r="Y78" i="26" s="1"/>
  <c r="P73" i="26"/>
  <c r="P77" i="26" s="1"/>
  <c r="K73" i="26"/>
  <c r="K77" i="26" s="1"/>
  <c r="N74" i="26"/>
  <c r="N78" i="26" s="1"/>
  <c r="G73" i="26"/>
  <c r="G77" i="26" s="1"/>
  <c r="CO74" i="26"/>
  <c r="CO78" i="26" s="1"/>
  <c r="AM74" i="26"/>
  <c r="AM78" i="26" s="1"/>
  <c r="CG73" i="26"/>
  <c r="CG77" i="26" s="1"/>
  <c r="AF73" i="26"/>
  <c r="AF77" i="26" s="1"/>
  <c r="CH72" i="26"/>
  <c r="AT72" i="26"/>
  <c r="F72" i="26"/>
  <c r="CK74" i="26"/>
  <c r="CK78" i="26" s="1"/>
  <c r="AI74" i="26"/>
  <c r="AI78" i="26" s="1"/>
  <c r="CC73" i="26"/>
  <c r="CC77" i="26" s="1"/>
  <c r="AB73" i="26"/>
  <c r="AB77" i="26" s="1"/>
  <c r="CE72" i="26"/>
  <c r="AQ72" i="26"/>
  <c r="AH74" i="26"/>
  <c r="AH78" i="26" s="1"/>
  <c r="Z73" i="26"/>
  <c r="Z77" i="26" s="1"/>
  <c r="AP72" i="26"/>
  <c r="V73" i="26"/>
  <c r="V77" i="26" s="1"/>
  <c r="AC74" i="26"/>
  <c r="AC78" i="26" s="1"/>
  <c r="U73" i="26"/>
  <c r="U77" i="26" s="1"/>
  <c r="BV72" i="26"/>
  <c r="R74" i="26"/>
  <c r="R78" i="26" s="1"/>
  <c r="H73" i="26"/>
  <c r="H77" i="26" s="1"/>
  <c r="BF73" i="26"/>
  <c r="BF77" i="26" s="1"/>
  <c r="CI74" i="26"/>
  <c r="CI78" i="26" s="1"/>
  <c r="CB73" i="26"/>
  <c r="CB77" i="26" s="1"/>
  <c r="CD72" i="26"/>
  <c r="BX73" i="26"/>
  <c r="BX77" i="26" s="1"/>
  <c r="AM72" i="26"/>
  <c r="BR72" i="26"/>
  <c r="CA72" i="26"/>
  <c r="BW72" i="26"/>
  <c r="BH73" i="26"/>
  <c r="BH77" i="26" s="1"/>
  <c r="Z72" i="26"/>
  <c r="BU74" i="26"/>
  <c r="BU78" i="26" s="1"/>
  <c r="S74" i="26"/>
  <c r="S78" i="26" s="1"/>
  <c r="BM73" i="26"/>
  <c r="BM77" i="26" s="1"/>
  <c r="L73" i="26"/>
  <c r="L77" i="26" s="1"/>
  <c r="BS72" i="26"/>
  <c r="AE72" i="26"/>
  <c r="CF72" i="26"/>
  <c r="BK74" i="26"/>
  <c r="BK78" i="26" s="1"/>
  <c r="AJ74" i="26"/>
  <c r="AJ78" i="26" s="1"/>
  <c r="BC73" i="26"/>
  <c r="BC77" i="26" s="1"/>
  <c r="CR72" i="26"/>
  <c r="CC72" i="26"/>
  <c r="BZ73" i="26"/>
  <c r="BZ77" i="26" s="1"/>
  <c r="CH74" i="26"/>
  <c r="CH78" i="26" s="1"/>
  <c r="CV72" i="26"/>
  <c r="CA74" i="26"/>
  <c r="CA78" i="26" s="1"/>
  <c r="AU73" i="26"/>
  <c r="AU77" i="26" s="1"/>
  <c r="CK72" i="26"/>
  <c r="CS74" i="26"/>
  <c r="CS78" i="26" s="1"/>
  <c r="CL74" i="26"/>
  <c r="CL78" i="26" s="1"/>
  <c r="AQ73" i="26"/>
  <c r="AQ77" i="26" s="1"/>
  <c r="CO72" i="26"/>
  <c r="CX74" i="26"/>
  <c r="CX78" i="26" s="1"/>
  <c r="CV74" i="26"/>
  <c r="CV78" i="26" s="1"/>
  <c r="AM73" i="26"/>
  <c r="AM77" i="26" s="1"/>
  <c r="AX73" i="26"/>
  <c r="AX77" i="26" s="1"/>
  <c r="CF74" i="26"/>
  <c r="CF78" i="26" s="1"/>
  <c r="W73" i="26"/>
  <c r="W77" i="26" s="1"/>
  <c r="CB74" i="26"/>
  <c r="CB78" i="26" s="1"/>
  <c r="O73" i="26"/>
  <c r="O77" i="26" s="1"/>
  <c r="AG74" i="26"/>
  <c r="AG78" i="26" s="1"/>
  <c r="BT74" i="26"/>
  <c r="BT78" i="26" s="1"/>
  <c r="AS72" i="26"/>
  <c r="AF72" i="26"/>
  <c r="CJ73" i="26"/>
  <c r="CJ77" i="26" s="1"/>
  <c r="T72" i="26"/>
  <c r="AB72" i="26"/>
  <c r="AW74" i="26"/>
  <c r="AW78" i="26" s="1"/>
  <c r="E74" i="26"/>
  <c r="E78" i="26" s="1"/>
  <c r="BW73" i="26"/>
  <c r="BW77" i="26" s="1"/>
  <c r="BI72" i="26"/>
  <c r="Z74" i="26"/>
  <c r="Z78" i="26" s="1"/>
  <c r="AZ72" i="26"/>
  <c r="BM74" i="26"/>
  <c r="BM78" i="26" s="1"/>
  <c r="AE74" i="26"/>
  <c r="AE78" i="26" s="1"/>
  <c r="BQ72" i="26"/>
  <c r="AR74" i="26"/>
  <c r="AR78" i="26" s="1"/>
  <c r="CN72" i="26"/>
  <c r="BQ74" i="26"/>
  <c r="BQ78" i="26" s="1"/>
  <c r="AF74" i="26"/>
  <c r="AF78" i="26" s="1"/>
  <c r="AY73" i="26"/>
  <c r="AY77" i="26" s="1"/>
  <c r="I73" i="26"/>
  <c r="I77" i="26" s="1"/>
  <c r="CG72" i="26"/>
  <c r="CF73" i="26"/>
  <c r="CF77" i="26" s="1"/>
  <c r="CM74" i="26"/>
  <c r="CM78" i="26" s="1"/>
  <c r="AB74" i="26"/>
  <c r="AB78" i="26" s="1"/>
  <c r="R73" i="26"/>
  <c r="R77" i="26" s="1"/>
  <c r="I72" i="26"/>
  <c r="CK73" i="26"/>
  <c r="CK77" i="26" s="1"/>
  <c r="E73" i="26"/>
  <c r="E77" i="26" s="1"/>
  <c r="X74" i="26"/>
  <c r="X78" i="26" s="1"/>
  <c r="AC73" i="26"/>
  <c r="AC77" i="26" s="1"/>
  <c r="M72" i="26"/>
  <c r="CP73" i="26"/>
  <c r="CP77" i="26" s="1"/>
  <c r="M73" i="26"/>
  <c r="M77" i="26" s="1"/>
  <c r="T74" i="26"/>
  <c r="T78" i="26" s="1"/>
  <c r="AN73" i="26"/>
  <c r="AN77" i="26" s="1"/>
  <c r="Q72" i="26"/>
  <c r="CS72" i="26"/>
  <c r="CV73" i="26"/>
  <c r="CV77" i="26" s="1"/>
  <c r="X73" i="26"/>
  <c r="X77" i="26" s="1"/>
  <c r="CR74" i="26"/>
  <c r="CR78" i="26" s="1"/>
  <c r="AI73" i="26"/>
  <c r="AI77" i="26" s="1"/>
  <c r="BD73" i="26"/>
  <c r="BD77" i="26" s="1"/>
  <c r="U72" i="26"/>
  <c r="F74" i="26"/>
  <c r="F78" i="26" s="1"/>
  <c r="AS73" i="26"/>
  <c r="AS77" i="26" s="1"/>
  <c r="AC72" i="26"/>
  <c r="Q74" i="26"/>
  <c r="Q78" i="26" s="1"/>
  <c r="CY73" i="26"/>
  <c r="CY77" i="26" s="1"/>
  <c r="AG72" i="26"/>
  <c r="V74" i="26"/>
  <c r="V78" i="26" s="1"/>
  <c r="H72" i="26"/>
  <c r="CU73" i="26"/>
  <c r="CU77" i="26" s="1"/>
  <c r="J74" i="26"/>
  <c r="J78" i="26" s="1"/>
  <c r="T73" i="26"/>
  <c r="T77" i="26" s="1"/>
  <c r="BX74" i="26"/>
  <c r="BX78" i="26" s="1"/>
  <c r="AO72" i="26"/>
  <c r="BY73" i="26"/>
  <c r="BY77" i="26" s="1"/>
  <c r="AK74" i="26"/>
  <c r="AK78" i="26" s="1"/>
  <c r="AL74" i="26"/>
  <c r="AL78" i="26" s="1"/>
  <c r="CI73" i="26"/>
  <c r="CI77" i="26" s="1"/>
  <c r="AW72" i="26"/>
  <c r="CE73" i="26"/>
  <c r="CE77" i="26" s="1"/>
  <c r="BA72" i="26"/>
  <c r="BH74" i="26"/>
  <c r="BH78" i="26" s="1"/>
  <c r="BD74" i="26"/>
  <c r="BD78" i="26" s="1"/>
  <c r="AZ74" i="26"/>
  <c r="AZ78" i="26" s="1"/>
  <c r="BE73" i="26"/>
  <c r="BE77" i="26" s="1"/>
  <c r="AV74" i="26"/>
  <c r="AV78" i="26" s="1"/>
  <c r="BR74" i="26"/>
  <c r="BR78" i="26" s="1"/>
  <c r="AP74" i="26"/>
  <c r="AP78" i="26" s="1"/>
  <c r="BG73" i="26"/>
  <c r="BG77" i="26" s="1"/>
  <c r="AK72" i="26"/>
  <c r="X72" i="26"/>
  <c r="AU74" i="26"/>
  <c r="AU78" i="26" s="1"/>
  <c r="AQ74" i="26"/>
  <c r="AQ78" i="26" s="1"/>
  <c r="BV74" i="26"/>
  <c r="BV78" i="26" s="1"/>
  <c r="BD72" i="26"/>
  <c r="BG74" i="26"/>
  <c r="BG78" i="26" s="1"/>
  <c r="BM72" i="26"/>
  <c r="BT72" i="26"/>
  <c r="BX72" i="26"/>
  <c r="BW74" i="26"/>
  <c r="BW78" i="26" s="1"/>
  <c r="BA74" i="26"/>
  <c r="BA78" i="26" s="1"/>
  <c r="CC74" i="26"/>
  <c r="CC78" i="26" s="1"/>
  <c r="P74" i="26"/>
  <c r="P78" i="26" s="1"/>
  <c r="CW72" i="26"/>
  <c r="AH73" i="26"/>
  <c r="AH77" i="26" s="1"/>
  <c r="CN74" i="26"/>
  <c r="CN78" i="26" s="1"/>
  <c r="L74" i="26"/>
  <c r="L78" i="26" s="1"/>
  <c r="AE73" i="26"/>
  <c r="AE77" i="26" s="1"/>
  <c r="BN73" i="26"/>
  <c r="BN77" i="26" s="1"/>
  <c r="Y72" i="26"/>
  <c r="F73" i="26"/>
  <c r="F77" i="26" s="1"/>
  <c r="K74" i="26"/>
  <c r="K78" i="26" s="1"/>
  <c r="CJ74" i="26"/>
  <c r="CJ78" i="26" s="1"/>
  <c r="H74" i="26"/>
  <c r="H78" i="26" s="1"/>
  <c r="AA73" i="26"/>
  <c r="AA77" i="26" s="1"/>
  <c r="CD73" i="26"/>
  <c r="CD77" i="26" s="1"/>
  <c r="J73" i="26"/>
  <c r="J77" i="26" s="1"/>
  <c r="CO73" i="26"/>
  <c r="CO77" i="26" s="1"/>
  <c r="N73" i="26"/>
  <c r="N77" i="26" s="1"/>
  <c r="BI73" i="26"/>
  <c r="BI77" i="26" s="1"/>
  <c r="S73" i="26"/>
  <c r="S77" i="26" s="1"/>
  <c r="AA74" i="26"/>
  <c r="AA78" i="26" s="1"/>
  <c r="P72" i="26"/>
  <c r="CQ73" i="26"/>
  <c r="CQ77" i="26" s="1"/>
  <c r="Y73" i="26"/>
  <c r="Y77" i="26" s="1"/>
  <c r="CM73" i="26"/>
  <c r="CM77" i="26" s="1"/>
  <c r="AD73" i="26"/>
  <c r="AD77" i="26" s="1"/>
  <c r="BP74" i="26"/>
  <c r="BP78" i="26" s="1"/>
  <c r="AJ73" i="26"/>
  <c r="AJ77" i="26" s="1"/>
  <c r="CT73" i="26"/>
  <c r="CT77" i="26" s="1"/>
  <c r="AJ72" i="26"/>
  <c r="BE72" i="26"/>
  <c r="AT73" i="26"/>
  <c r="AT77" i="26" s="1"/>
  <c r="BB74" i="26"/>
  <c r="BB78" i="26" s="1"/>
  <c r="O74" i="26"/>
  <c r="O78" i="26" s="1"/>
  <c r="CG74" i="26"/>
  <c r="CG78" i="26" s="1"/>
  <c r="BL72" i="26"/>
  <c r="BS73" i="26"/>
  <c r="BS77" i="26" s="1"/>
  <c r="BP72" i="26"/>
  <c r="BH72" i="26"/>
  <c r="BJ73" i="26"/>
  <c r="BJ77" i="26" s="1"/>
  <c r="BU72" i="26"/>
  <c r="CB72" i="26"/>
  <c r="CJ72" i="26"/>
  <c r="BY72" i="26"/>
  <c r="BT73" i="26"/>
  <c r="BT77" i="26" s="1"/>
  <c r="U74" i="26"/>
  <c r="U78" i="26" s="1"/>
  <c r="L72" i="26"/>
  <c r="AN72" i="26"/>
  <c r="BL74" i="26"/>
  <c r="BL78" i="26" s="1"/>
  <c r="BF74" i="26"/>
  <c r="BF78" i="26" s="1"/>
  <c r="AO73" i="26"/>
  <c r="AO77" i="26" s="1"/>
  <c r="AV72" i="26"/>
  <c r="CA73" i="26"/>
  <c r="CA77" i="26" s="1"/>
  <c r="AR72" i="26"/>
  <c r="AZ73" i="26"/>
  <c r="AZ77" i="26" s="1"/>
  <c r="CW74" i="26"/>
  <c r="CW78" i="26" s="1"/>
  <c r="BO73" i="26"/>
  <c r="BO77" i="26" s="1"/>
  <c r="BK73" i="26"/>
  <c r="BK77" i="26" s="1"/>
  <c r="BP73" i="26"/>
  <c r="BP77" i="26" s="1"/>
  <c r="AN74" i="26"/>
  <c r="AN78" i="26" s="1"/>
  <c r="BU73" i="26"/>
  <c r="BU77" i="26" s="1"/>
  <c r="D100" i="14"/>
  <c r="G99" i="14" s="1"/>
  <c r="E30" i="3"/>
  <c r="F30" i="3" s="1"/>
  <c r="B10" i="26" s="1"/>
  <c r="B11" i="26" s="1"/>
  <c r="E99" i="14"/>
  <c r="H19" i="24" s="1"/>
  <c r="B30" i="3"/>
  <c r="L15" i="24" l="1"/>
  <c r="K14" i="24"/>
  <c r="T13" i="24"/>
  <c r="U13" i="24" s="1"/>
  <c r="V13" i="24" s="1"/>
  <c r="H164" i="27"/>
  <c r="CS76" i="26"/>
  <c r="CS79" i="26"/>
  <c r="Y76" i="26"/>
  <c r="Y79" i="26"/>
  <c r="H76" i="26"/>
  <c r="H79" i="26"/>
  <c r="BN79" i="26"/>
  <c r="BN76" i="26"/>
  <c r="AQ76" i="26"/>
  <c r="AQ79" i="26"/>
  <c r="BY76" i="26"/>
  <c r="BY79" i="26"/>
  <c r="CE76" i="26"/>
  <c r="CE79" i="26"/>
  <c r="AA76" i="26"/>
  <c r="AA79" i="26"/>
  <c r="AU79" i="26"/>
  <c r="AU76" i="26"/>
  <c r="AO76" i="26"/>
  <c r="AO79" i="26"/>
  <c r="M76" i="26"/>
  <c r="M79" i="26"/>
  <c r="CW76" i="26"/>
  <c r="CW79" i="26"/>
  <c r="AC76" i="26"/>
  <c r="AC79" i="26"/>
  <c r="I76" i="26"/>
  <c r="I79" i="26"/>
  <c r="CK76" i="26"/>
  <c r="CK79" i="26"/>
  <c r="BW79" i="26"/>
  <c r="BW76" i="26"/>
  <c r="CI79" i="26"/>
  <c r="CI76" i="26"/>
  <c r="CZ77" i="26"/>
  <c r="C15" i="26" s="1"/>
  <c r="AD76" i="26"/>
  <c r="AD79" i="26"/>
  <c r="AP76" i="26"/>
  <c r="AP79" i="26"/>
  <c r="CX79" i="26"/>
  <c r="CX76" i="26"/>
  <c r="AR76" i="26"/>
  <c r="AR79" i="26"/>
  <c r="CN76" i="26"/>
  <c r="CN79" i="26"/>
  <c r="CF76" i="26"/>
  <c r="CF79" i="26"/>
  <c r="AJ76" i="26"/>
  <c r="AJ79" i="26"/>
  <c r="L76" i="26"/>
  <c r="L79" i="26"/>
  <c r="AL79" i="26"/>
  <c r="AL76" i="26"/>
  <c r="CP76" i="26"/>
  <c r="CP79" i="26"/>
  <c r="P76" i="26"/>
  <c r="P79" i="26"/>
  <c r="T76" i="26"/>
  <c r="T79" i="26"/>
  <c r="AI79" i="26"/>
  <c r="AI76" i="26"/>
  <c r="BA76" i="26"/>
  <c r="BA79" i="26"/>
  <c r="U76" i="26"/>
  <c r="U79" i="26"/>
  <c r="CV76" i="26"/>
  <c r="CV79" i="26"/>
  <c r="AM76" i="26"/>
  <c r="AM79" i="26"/>
  <c r="CM79" i="26"/>
  <c r="CM76" i="26"/>
  <c r="AE79" i="26"/>
  <c r="AE76" i="26"/>
  <c r="X76" i="26"/>
  <c r="X79" i="26"/>
  <c r="N76" i="26"/>
  <c r="N79" i="26"/>
  <c r="AG76" i="26"/>
  <c r="AG79" i="26"/>
  <c r="CB76" i="26"/>
  <c r="CB79" i="26"/>
  <c r="CA79" i="26"/>
  <c r="CA76" i="26"/>
  <c r="CZ78" i="26"/>
  <c r="C17" i="26" s="1"/>
  <c r="I31" i="24" s="1"/>
  <c r="I33" i="24" s="1"/>
  <c r="BH76" i="26"/>
  <c r="BH79" i="26"/>
  <c r="AF76" i="26"/>
  <c r="AF79" i="26"/>
  <c r="F76" i="26"/>
  <c r="F79" i="26"/>
  <c r="AX79" i="26"/>
  <c r="AX76" i="26"/>
  <c r="R76" i="26"/>
  <c r="R79" i="26"/>
  <c r="J76" i="26"/>
  <c r="J79" i="26"/>
  <c r="BZ79" i="26"/>
  <c r="BZ76" i="26"/>
  <c r="BE76" i="26"/>
  <c r="BE79" i="26"/>
  <c r="BO76" i="26"/>
  <c r="BO79" i="26"/>
  <c r="V79" i="26"/>
  <c r="V76" i="26"/>
  <c r="CO76" i="26"/>
  <c r="CO79" i="26"/>
  <c r="BJ76" i="26"/>
  <c r="BJ79" i="26"/>
  <c r="CJ76" i="26"/>
  <c r="CJ79" i="26"/>
  <c r="BR79" i="26"/>
  <c r="BR76" i="26"/>
  <c r="BP76" i="26"/>
  <c r="BP79" i="26"/>
  <c r="BX76" i="26"/>
  <c r="BX79" i="26"/>
  <c r="AW76" i="26"/>
  <c r="AW79" i="26"/>
  <c r="CG76" i="26"/>
  <c r="CG79" i="26"/>
  <c r="AS76" i="26"/>
  <c r="AS79" i="26"/>
  <c r="CD79" i="26"/>
  <c r="CD76" i="26"/>
  <c r="AT76" i="26"/>
  <c r="AT79" i="26"/>
  <c r="BF79" i="26"/>
  <c r="BF76" i="26"/>
  <c r="K76" i="26"/>
  <c r="K79" i="26"/>
  <c r="AY79" i="26"/>
  <c r="AY76" i="26"/>
  <c r="Q76" i="26"/>
  <c r="Q79" i="26"/>
  <c r="AV76" i="26"/>
  <c r="AV79" i="26"/>
  <c r="BG76" i="26"/>
  <c r="BG79" i="26"/>
  <c r="BQ76" i="26"/>
  <c r="BQ79" i="26"/>
  <c r="AH76" i="26"/>
  <c r="AH79" i="26"/>
  <c r="AZ76" i="26"/>
  <c r="AZ79" i="26"/>
  <c r="BB79" i="26"/>
  <c r="BB76" i="26"/>
  <c r="AB76" i="26"/>
  <c r="AB79" i="26"/>
  <c r="BU76" i="26"/>
  <c r="BU79" i="26"/>
  <c r="BT76" i="26"/>
  <c r="BT79" i="26"/>
  <c r="CC76" i="26"/>
  <c r="CC79" i="26"/>
  <c r="CH79" i="26"/>
  <c r="CH76" i="26"/>
  <c r="CT79" i="26"/>
  <c r="CT76" i="26"/>
  <c r="O79" i="26"/>
  <c r="O76" i="26"/>
  <c r="G79" i="26"/>
  <c r="G76" i="26"/>
  <c r="BD76" i="26"/>
  <c r="BD79" i="26"/>
  <c r="BS76" i="26"/>
  <c r="BS79" i="26"/>
  <c r="AK76" i="26"/>
  <c r="AK79" i="26"/>
  <c r="BL76" i="26"/>
  <c r="BL79" i="26"/>
  <c r="BM76" i="26"/>
  <c r="BM79" i="26"/>
  <c r="CR76" i="26"/>
  <c r="CR79" i="26"/>
  <c r="BC76" i="26"/>
  <c r="BC79" i="26"/>
  <c r="CL76" i="26"/>
  <c r="CL79" i="26"/>
  <c r="CQ76" i="26"/>
  <c r="CQ79" i="26"/>
  <c r="S76" i="26"/>
  <c r="S79" i="26"/>
  <c r="CU76" i="26"/>
  <c r="CU79" i="26"/>
  <c r="W79" i="26"/>
  <c r="W76" i="26"/>
  <c r="BK79" i="26"/>
  <c r="BK76" i="26"/>
  <c r="CY76" i="26"/>
  <c r="CY79" i="26"/>
  <c r="BV76" i="26"/>
  <c r="BV79" i="26"/>
  <c r="AN76" i="26"/>
  <c r="AN79" i="26"/>
  <c r="BI76" i="26"/>
  <c r="BI79" i="26"/>
  <c r="Z79" i="26"/>
  <c r="Z76" i="26"/>
  <c r="E76" i="26"/>
  <c r="E79" i="26"/>
  <c r="L20" i="24"/>
  <c r="K19" i="24"/>
  <c r="E100" i="14"/>
  <c r="H21" i="24" s="1"/>
  <c r="H23" i="24" s="1"/>
  <c r="K18" i="24" l="1"/>
  <c r="H18" i="24"/>
  <c r="J31" i="24"/>
  <c r="J33" i="24" s="1"/>
  <c r="CZ76" i="26"/>
  <c r="L22" i="24"/>
  <c r="G100" i="14"/>
  <c r="C30" i="3"/>
  <c r="B9" i="26" s="1"/>
  <c r="CZ79" i="26" l="1"/>
  <c r="C16" i="26"/>
  <c r="B16" i="26" s="1"/>
  <c r="B15" i="26"/>
  <c r="B17" i="26"/>
  <c r="L24" i="24"/>
  <c r="K21" i="24"/>
  <c r="J35" i="24"/>
  <c r="J36" i="24" s="1"/>
  <c r="C18" i="26" l="1"/>
  <c r="K23" i="24"/>
  <c r="I35" i="24"/>
  <c r="I36" i="24" s="1"/>
  <c r="B20" i="26" l="1"/>
  <c r="B18" i="26"/>
  <c r="K29" i="24"/>
  <c r="K31" i="24" s="1"/>
  <c r="K33" i="24" s="1"/>
  <c r="K35" i="24" s="1"/>
  <c r="E37" i="24" s="1"/>
  <c r="H37" i="24" s="1"/>
  <c r="L30" i="24"/>
  <c r="H31" i="24"/>
  <c r="L32" i="24" l="1"/>
  <c r="H33" i="24"/>
  <c r="L34" i="24" s="1"/>
  <c r="H35" i="24"/>
  <c r="H36" i="24" s="1"/>
  <c r="C122" i="27" l="1"/>
  <c r="B13" i="27" s="1"/>
  <c r="D123" i="27" l="1"/>
  <c r="C122" i="12"/>
  <c r="B13" i="12" s="1"/>
  <c r="D123" i="12" l="1"/>
</calcChain>
</file>

<file path=xl/comments1.xml><?xml version="1.0" encoding="utf-8"?>
<comments xmlns="http://schemas.openxmlformats.org/spreadsheetml/2006/main">
  <authors>
    <author>contrabog</author>
  </authors>
  <commentList>
    <comment ref="B11" authorId="0" shapeId="0">
      <text>
        <r>
          <rPr>
            <b/>
            <sz val="9"/>
            <color indexed="81"/>
            <rFont val="Tahoma"/>
            <family val="2"/>
          </rPr>
          <t>contrabog:</t>
        </r>
        <r>
          <rPr>
            <sz val="9"/>
            <color indexed="81"/>
            <rFont val="Tahoma"/>
            <family val="2"/>
          </rPr>
          <t xml:space="preserve">
Diligenciar de conformidad con el nivel de desagregación que el auditor considere</t>
        </r>
      </text>
    </comment>
    <comment ref="C11" authorId="0" shapeId="0">
      <text>
        <r>
          <rPr>
            <b/>
            <sz val="9"/>
            <color indexed="81"/>
            <rFont val="Tahoma"/>
            <family val="2"/>
          </rPr>
          <t>contrabog:</t>
        </r>
        <r>
          <rPr>
            <sz val="9"/>
            <color indexed="81"/>
            <rFont val="Tahoma"/>
            <family val="2"/>
          </rPr>
          <t xml:space="preserve">
En caso que no cuente con los saldos a dic 31, deberá tomar los más próximos  a esa fecha y luego actualizarlo</t>
        </r>
      </text>
    </comment>
    <comment ref="R11" authorId="0" shapeId="0">
      <text>
        <r>
          <rPr>
            <b/>
            <sz val="9"/>
            <color rgb="FF000000"/>
            <rFont val="Tahoma"/>
            <family val="2"/>
          </rPr>
          <t>contrabog:</t>
        </r>
        <r>
          <rPr>
            <sz val="9"/>
            <color rgb="FF000000"/>
            <rFont val="Tahoma"/>
            <family val="2"/>
          </rPr>
          <t xml:space="preserve">
</t>
        </r>
        <r>
          <rPr>
            <sz val="9"/>
            <color rgb="FF000000"/>
            <rFont val="Tahoma"/>
            <family val="2"/>
          </rPr>
          <t xml:space="preserve">Traiga a esta celda el valor ($) 
</t>
        </r>
        <r>
          <rPr>
            <sz val="9"/>
            <color rgb="FF000000"/>
            <rFont val="Tahoma"/>
            <family val="2"/>
          </rPr>
          <t>tomado com muestra</t>
        </r>
      </text>
    </comment>
    <comment ref="B104" authorId="0" shapeId="0">
      <text>
        <r>
          <rPr>
            <b/>
            <sz val="9"/>
            <color indexed="81"/>
            <rFont val="Tahoma"/>
            <family val="2"/>
          </rPr>
          <t>contrabog:</t>
        </r>
        <r>
          <rPr>
            <sz val="9"/>
            <color indexed="81"/>
            <rFont val="Tahoma"/>
            <family val="2"/>
          </rPr>
          <t xml:space="preserve">
Diligenciar de conformidad con el nivel de desagregación que el auditor considere</t>
        </r>
      </text>
    </comment>
    <comment ref="C104" authorId="0" shapeId="0">
      <text>
        <r>
          <rPr>
            <b/>
            <sz val="9"/>
            <color indexed="81"/>
            <rFont val="Tahoma"/>
            <family val="2"/>
          </rPr>
          <t>contrabog:</t>
        </r>
        <r>
          <rPr>
            <sz val="9"/>
            <color indexed="81"/>
            <rFont val="Tahoma"/>
            <family val="2"/>
          </rPr>
          <t xml:space="preserve">
En caso que no cuente con los saldos a dic 31, deberá tomar los más próximos  a esa fecha y luego actualizarlo</t>
        </r>
      </text>
    </comment>
    <comment ref="R104" authorId="0" shapeId="0">
      <text>
        <r>
          <rPr>
            <b/>
            <sz val="9"/>
            <color rgb="FF000000"/>
            <rFont val="Tahoma"/>
            <family val="2"/>
          </rPr>
          <t>contrabog:</t>
        </r>
        <r>
          <rPr>
            <sz val="9"/>
            <color rgb="FF000000"/>
            <rFont val="Tahoma"/>
            <family val="2"/>
          </rPr>
          <t xml:space="preserve">
</t>
        </r>
        <r>
          <rPr>
            <sz val="9"/>
            <color rgb="FF000000"/>
            <rFont val="Tahoma"/>
            <family val="2"/>
          </rPr>
          <t xml:space="preserve">Traiga a esta celda el valor ($) 
</t>
        </r>
        <r>
          <rPr>
            <sz val="9"/>
            <color rgb="FF000000"/>
            <rFont val="Tahoma"/>
            <family val="2"/>
          </rPr>
          <t>tomado com muestra</t>
        </r>
      </text>
    </comment>
  </commentList>
</comments>
</file>

<file path=xl/comments2.xml><?xml version="1.0" encoding="utf-8"?>
<comments xmlns="http://schemas.openxmlformats.org/spreadsheetml/2006/main">
  <authors>
    <author>Omar Eduardo</author>
  </authors>
  <commentList>
    <comment ref="I18" authorId="0" shapeId="0">
      <text>
        <r>
          <rPr>
            <sz val="9"/>
            <color indexed="81"/>
            <rFont val="Tahoma"/>
            <family val="2"/>
          </rPr>
          <t>Efectividad=((Puntaje de eficiencia+Puntuaje de eficacia)/2)/. El porcentaje resultante reflejará el grado de efectividad del desempeño auditado</t>
        </r>
      </text>
    </comment>
  </commentList>
</comments>
</file>

<file path=xl/comments3.xml><?xml version="1.0" encoding="utf-8"?>
<comments xmlns="http://schemas.openxmlformats.org/spreadsheetml/2006/main">
  <authors>
    <author>Blanca Esmeralda Martin Moreno (CGR)</author>
    <author>FRANCISCO</author>
    <author>USER</author>
    <author>Francisco H Bejarano Caceres</author>
  </authors>
  <commentList>
    <comment ref="A18" authorId="0" shapeId="0">
      <text>
        <r>
          <rPr>
            <b/>
            <sz val="9"/>
            <color rgb="FF000000"/>
            <rFont val="Tahoma"/>
            <family val="2"/>
          </rPr>
          <t>Seleccione de las listas desplegables la opción que corresponda.</t>
        </r>
      </text>
    </comment>
    <comment ref="D25" authorId="1" shapeId="0">
      <text>
        <r>
          <rPr>
            <b/>
            <sz val="9"/>
            <color rgb="FF000000"/>
            <rFont val="Tahoma"/>
            <family val="2"/>
          </rPr>
          <t>I</t>
        </r>
        <r>
          <rPr>
            <sz val="9"/>
            <color rgb="FF000000"/>
            <rFont val="Tahoma"/>
            <family val="2"/>
          </rPr>
          <t xml:space="preserve">ngrese manualmente el porcentaje seleccionado. Debe coincidir con el rango de porcentaje calculado
</t>
        </r>
      </text>
    </comment>
    <comment ref="A34" authorId="2" shapeId="0">
      <text>
        <r>
          <rPr>
            <b/>
            <sz val="9"/>
            <color indexed="81"/>
            <rFont val="Tahoma"/>
            <family val="2"/>
          </rPr>
          <t>USER:</t>
        </r>
        <r>
          <rPr>
            <sz val="9"/>
            <color indexed="81"/>
            <rFont val="Tahoma"/>
            <family val="2"/>
          </rPr>
          <t xml:space="preserve">
Favor digitar el valor correspondiente al presupuesto total de ingresos asignado si aplica</t>
        </r>
      </text>
    </comment>
    <comment ref="C34" authorId="2" shapeId="0">
      <text>
        <r>
          <rPr>
            <b/>
            <sz val="9"/>
            <color indexed="81"/>
            <rFont val="Tahoma"/>
            <family val="2"/>
          </rPr>
          <t>El contenido de esta celda es automático, el auditor no debe diligenciarla, celda formulada</t>
        </r>
      </text>
    </comment>
    <comment ref="D34" authorId="2" shapeId="0">
      <text>
        <r>
          <rPr>
            <b/>
            <sz val="9"/>
            <color indexed="81"/>
            <rFont val="Tahoma"/>
            <family val="2"/>
          </rPr>
          <t>El contenido de esta celda es automático, el auditor no debe diligenciarla, celda formulada</t>
        </r>
      </text>
    </comment>
    <comment ref="A39" authorId="2" shapeId="0">
      <text>
        <r>
          <rPr>
            <b/>
            <sz val="9"/>
            <color indexed="81"/>
            <rFont val="Tahoma"/>
            <family val="2"/>
          </rPr>
          <t>USER:</t>
        </r>
        <r>
          <rPr>
            <sz val="9"/>
            <color indexed="81"/>
            <rFont val="Tahoma"/>
            <family val="2"/>
          </rPr>
          <t xml:space="preserve">
Favor digitar el valor correspondiente al presupuesto total de gastos del sujeto</t>
        </r>
      </text>
    </comment>
    <comment ref="C39" authorId="2" shapeId="0">
      <text>
        <r>
          <rPr>
            <b/>
            <sz val="9"/>
            <color indexed="81"/>
            <rFont val="Tahoma"/>
            <family val="2"/>
          </rPr>
          <t>El contenido de esta celda es automático, el auditor no debe diligenciarla, celda formulada</t>
        </r>
      </text>
    </comment>
    <comment ref="D39" authorId="2" shapeId="0">
      <text>
        <r>
          <rPr>
            <b/>
            <sz val="9"/>
            <color indexed="81"/>
            <rFont val="Tahoma"/>
            <family val="2"/>
          </rPr>
          <t>El contenido de esta celda es automático, el auditor no debe diligenciarla, celda formulada</t>
        </r>
      </text>
    </comment>
    <comment ref="D43" authorId="2" shapeId="0">
      <text>
        <r>
          <rPr>
            <sz val="9"/>
            <color indexed="81"/>
            <rFont val="Tahoma"/>
            <family val="2"/>
          </rPr>
          <t>El contenido de estas celdas es automático, el auditor no debe diligenciarlas, celdas formuladas</t>
        </r>
      </text>
    </comment>
    <comment ref="C44" authorId="2" shapeId="0">
      <text>
        <r>
          <rPr>
            <b/>
            <sz val="9"/>
            <color indexed="81"/>
            <rFont val="Tahoma"/>
            <family val="2"/>
          </rPr>
          <t>USER:</t>
        </r>
        <r>
          <rPr>
            <sz val="9"/>
            <color indexed="81"/>
            <rFont val="Tahoma"/>
            <family val="2"/>
          </rPr>
          <t xml:space="preserve">
favor digitar el valor total correspondiente a este rubro presupuetal</t>
        </r>
      </text>
    </comment>
    <comment ref="C45" authorId="2" shapeId="0">
      <text>
        <r>
          <rPr>
            <b/>
            <sz val="9"/>
            <color indexed="81"/>
            <rFont val="Tahoma"/>
            <family val="2"/>
          </rPr>
          <t>USER:</t>
        </r>
        <r>
          <rPr>
            <sz val="9"/>
            <color indexed="81"/>
            <rFont val="Tahoma"/>
            <family val="2"/>
          </rPr>
          <t xml:space="preserve">
favor digitar el valor total correspondiente a este rubro presupuetal</t>
        </r>
      </text>
    </comment>
    <comment ref="C46" authorId="2" shapeId="0">
      <text>
        <r>
          <rPr>
            <b/>
            <sz val="9"/>
            <color indexed="81"/>
            <rFont val="Tahoma"/>
            <family val="2"/>
          </rPr>
          <t>USER:</t>
        </r>
        <r>
          <rPr>
            <sz val="9"/>
            <color indexed="81"/>
            <rFont val="Tahoma"/>
            <family val="2"/>
          </rPr>
          <t xml:space="preserve">
favor digitar el valor total correspondiente a este rubro presupuetal</t>
        </r>
      </text>
    </comment>
    <comment ref="C47" authorId="2" shapeId="0">
      <text>
        <r>
          <rPr>
            <b/>
            <sz val="9"/>
            <color indexed="81"/>
            <rFont val="Tahoma"/>
            <family val="2"/>
          </rPr>
          <t>USER:</t>
        </r>
        <r>
          <rPr>
            <sz val="9"/>
            <color indexed="81"/>
            <rFont val="Tahoma"/>
            <family val="2"/>
          </rPr>
          <t xml:space="preserve">
favor digitar el valor total correspondiente a este rubro presupuetal</t>
        </r>
      </text>
    </comment>
    <comment ref="C48" authorId="2" shapeId="0">
      <text>
        <r>
          <rPr>
            <b/>
            <sz val="9"/>
            <color indexed="81"/>
            <rFont val="Tahoma"/>
            <family val="2"/>
          </rPr>
          <t>USER:</t>
        </r>
        <r>
          <rPr>
            <sz val="9"/>
            <color indexed="81"/>
            <rFont val="Tahoma"/>
            <family val="2"/>
          </rPr>
          <t xml:space="preserve">
favor digitar el valor total correspondiente a este rubro presupuetal</t>
        </r>
      </text>
    </comment>
    <comment ref="C49" authorId="2" shapeId="0">
      <text>
        <r>
          <rPr>
            <b/>
            <sz val="9"/>
            <color indexed="81"/>
            <rFont val="Tahoma"/>
            <family val="2"/>
          </rPr>
          <t>USER:</t>
        </r>
        <r>
          <rPr>
            <sz val="9"/>
            <color indexed="81"/>
            <rFont val="Tahoma"/>
            <family val="2"/>
          </rPr>
          <t xml:space="preserve">
favor digitar el valor total correspondiente a este rubro presupuetal</t>
        </r>
      </text>
    </comment>
    <comment ref="A52" authorId="0" shapeId="0">
      <text>
        <r>
          <rPr>
            <b/>
            <sz val="9"/>
            <color indexed="81"/>
            <rFont val="Tahoma"/>
            <family val="2"/>
          </rPr>
          <t>Escriba las razones por las cuales, según su juicio profesional, seleccionó el % y en caso de que se haya seleccionado con otro criterio diferente a los sugeridos, justifique.</t>
        </r>
      </text>
    </comment>
    <comment ref="A53" authorId="0" shapeId="0">
      <text>
        <r>
          <rPr>
            <b/>
            <sz val="9"/>
            <color rgb="FF000000"/>
            <rFont val="Tahoma"/>
            <family val="2"/>
          </rPr>
          <t xml:space="preserve">Escriba las razones por las cuales, según su juicio profesional, seleccionó el porcentaje
</t>
        </r>
        <r>
          <rPr>
            <b/>
            <sz val="9"/>
            <color rgb="FF000000"/>
            <rFont val="Tahoma"/>
            <family val="2"/>
          </rPr>
          <t xml:space="preserve"> y en caso de que el porcentaje se haya seleccionado con otro criterio diferente a los sugeridos, justifique.</t>
        </r>
      </text>
    </comment>
    <comment ref="A58" authorId="0" shapeId="0">
      <text>
        <r>
          <rPr>
            <sz val="9"/>
            <color indexed="81"/>
            <rFont val="Tahoma"/>
            <family val="2"/>
          </rPr>
          <t>Recuerde que esta materialidad no es obligatoria, si considera que no hay motivos para calcular una cualitativa, escriba "no se determinó materialidad cualitativa"</t>
        </r>
      </text>
    </comment>
    <comment ref="B60" authorId="3" shapeId="0">
      <text>
        <r>
          <rPr>
            <sz val="11"/>
            <color indexed="81"/>
            <rFont val="Tahoma"/>
            <family val="2"/>
          </rPr>
          <t>Ingrese el % de acuerdo al nivel del riesgo combinado</t>
        </r>
        <r>
          <rPr>
            <sz val="9"/>
            <color indexed="81"/>
            <rFont val="Tahoma"/>
            <family val="2"/>
          </rPr>
          <t xml:space="preserve">
</t>
        </r>
      </text>
    </comment>
    <comment ref="E60" authorId="3" shapeId="0">
      <text>
        <r>
          <rPr>
            <sz val="11"/>
            <color indexed="81"/>
            <rFont val="Tahoma"/>
            <family val="2"/>
          </rPr>
          <t xml:space="preserve">Ingresar el valor de la materialidad de planeación MP Cuantitativa de la Base seleccionada
</t>
        </r>
      </text>
    </comment>
    <comment ref="E70" authorId="3" shapeId="0">
      <text>
        <r>
          <rPr>
            <sz val="11"/>
            <color indexed="81"/>
            <rFont val="Tahoma"/>
            <family val="2"/>
          </rPr>
          <t>Ingresar el valor de la materialidad de planeación MP Cuantitativa de la Base seleccionada</t>
        </r>
        <r>
          <rPr>
            <sz val="14"/>
            <color indexed="81"/>
            <rFont val="Tahoma"/>
            <family val="2"/>
          </rPr>
          <t xml:space="preserve">
 </t>
        </r>
      </text>
    </comment>
    <comment ref="E74" authorId="3" shapeId="0">
      <text>
        <r>
          <rPr>
            <sz val="11"/>
            <color indexed="81"/>
            <rFont val="Tahoma"/>
            <family val="2"/>
          </rPr>
          <t xml:space="preserve">Ingresar el valor del saldo, transacción u operación </t>
        </r>
        <r>
          <rPr>
            <sz val="14"/>
            <color indexed="81"/>
            <rFont val="Tahoma"/>
            <family val="2"/>
          </rPr>
          <t xml:space="preserve">
</t>
        </r>
      </text>
    </comment>
  </commentList>
</comments>
</file>

<file path=xl/comments4.xml><?xml version="1.0" encoding="utf-8"?>
<comments xmlns="http://schemas.openxmlformats.org/spreadsheetml/2006/main">
  <authors>
    <author>USER</author>
    <author>contrabog</author>
    <author xml:space="preserve"> </author>
  </authors>
  <commentList>
    <comment ref="D11" authorId="0" shapeId="0">
      <text>
        <r>
          <rPr>
            <b/>
            <sz val="9"/>
            <color rgb="FF000000"/>
            <rFont val="Tahoma"/>
            <family val="2"/>
          </rPr>
          <t>USER:</t>
        </r>
        <r>
          <rPr>
            <sz val="9"/>
            <color rgb="FF000000"/>
            <rFont val="Tahoma"/>
            <family val="2"/>
          </rPr>
          <t xml:space="preserve">
Seleccione de la lista desplegable el proceso que le aplique y diligencie según el caso.</t>
        </r>
      </text>
    </comment>
    <comment ref="F16" authorId="1" shapeId="0">
      <text>
        <r>
          <rPr>
            <b/>
            <sz val="9"/>
            <color indexed="81"/>
            <rFont val="Tahoma"/>
            <family val="2"/>
          </rPr>
          <t>contrabog:</t>
        </r>
        <r>
          <rPr>
            <sz val="9"/>
            <color indexed="81"/>
            <rFont val="Tahoma"/>
            <family val="2"/>
          </rPr>
          <t xml:space="preserve">
Lista desplegable</t>
        </r>
      </text>
    </comment>
    <comment ref="G16" authorId="1" shapeId="0">
      <text>
        <r>
          <rPr>
            <b/>
            <sz val="9"/>
            <color indexed="81"/>
            <rFont val="Tahoma"/>
            <family val="2"/>
          </rPr>
          <t>contrabog:</t>
        </r>
        <r>
          <rPr>
            <sz val="9"/>
            <color indexed="81"/>
            <rFont val="Tahoma"/>
            <family val="2"/>
          </rPr>
          <t xml:space="preserve">
Lista desplegable</t>
        </r>
      </text>
    </comment>
    <comment ref="H23" authorId="2" shapeId="0">
      <text>
        <r>
          <rPr>
            <b/>
            <sz val="8"/>
            <color rgb="FF000000"/>
            <rFont val="Tahoma"/>
            <family val="2"/>
          </rPr>
          <t xml:space="preserve">Se ingresa la meta en la unidad de medida correspondiente (ej  meta 1200 cupos </t>
        </r>
      </text>
    </comment>
    <comment ref="I23" authorId="2" shapeId="0">
      <text>
        <r>
          <rPr>
            <b/>
            <sz val="8"/>
            <color indexed="81"/>
            <rFont val="Tahoma"/>
            <family val="2"/>
          </rPr>
          <t xml:space="preserve"> se incluye el resultado en la unidad de medida  correspondiente(ej se ejecutaron 800 cupos)
</t>
        </r>
        <r>
          <rPr>
            <sz val="8"/>
            <color indexed="81"/>
            <rFont val="Tahoma"/>
            <family val="2"/>
          </rPr>
          <t xml:space="preserve">
</t>
        </r>
      </text>
    </comment>
    <comment ref="N23" authorId="2" shapeId="0">
      <text>
        <r>
          <rPr>
            <b/>
            <sz val="10"/>
            <color indexed="81"/>
            <rFont val="Tahoma"/>
            <family val="2"/>
          </rPr>
          <t>Presupuesto inicial prramadado</t>
        </r>
      </text>
    </comment>
    <comment ref="O23" authorId="2" shapeId="0">
      <text>
        <r>
          <rPr>
            <b/>
            <sz val="10"/>
            <color indexed="81"/>
            <rFont val="Tahoma"/>
            <family val="2"/>
          </rPr>
          <t>Presupuesto ejecutado o contratado.</t>
        </r>
      </text>
    </comment>
    <comment ref="Q23" authorId="2" shapeId="0">
      <text>
        <r>
          <rPr>
            <sz val="10"/>
            <color rgb="FF000000"/>
            <rFont val="Tahoma"/>
            <family val="2"/>
          </rPr>
          <t>Tiempo Programado para alcanzar la meta, según Plan Estratégico,proyecto o plan de acción</t>
        </r>
      </text>
    </comment>
    <comment ref="R23" authorId="2" shapeId="0">
      <text>
        <r>
          <rPr>
            <b/>
            <sz val="10"/>
            <color indexed="81"/>
            <rFont val="Tahoma"/>
            <family val="2"/>
          </rPr>
          <t xml:space="preserve"> : </t>
        </r>
        <r>
          <rPr>
            <sz val="10"/>
            <color indexed="81"/>
            <rFont val="Tahoma"/>
            <family val="2"/>
          </rPr>
          <t>Tiempo en que se logró la meta propuesta.</t>
        </r>
      </text>
    </comment>
    <comment ref="T23" authorId="2" shapeId="0">
      <text>
        <r>
          <rPr>
            <b/>
            <sz val="10"/>
            <color indexed="81"/>
            <rFont val="Tahoma"/>
            <family val="2"/>
          </rPr>
          <t>Presupuesto ejecutado o contratado.</t>
        </r>
      </text>
    </comment>
    <comment ref="U23" authorId="2" shapeId="0">
      <text>
        <r>
          <rPr>
            <b/>
            <sz val="10"/>
            <color rgb="FF000000"/>
            <rFont val="Tahoma"/>
            <family val="2"/>
          </rPr>
          <t>Giros</t>
        </r>
      </text>
    </comment>
  </commentList>
</comments>
</file>

<file path=xl/comments5.xml><?xml version="1.0" encoding="utf-8"?>
<comments xmlns="http://schemas.openxmlformats.org/spreadsheetml/2006/main">
  <authors>
    <author>Omar Eduardo</author>
  </authors>
  <commentList>
    <comment ref="N24" authorId="0" shapeId="0">
      <text>
        <r>
          <rPr>
            <sz val="9"/>
            <color indexed="81"/>
            <rFont val="Tahoma"/>
            <family val="2"/>
          </rPr>
          <t xml:space="preserve">CUANDO CORRESPONDA </t>
        </r>
      </text>
    </comment>
  </commentList>
</comments>
</file>

<file path=xl/comments6.xml><?xml version="1.0" encoding="utf-8"?>
<comments xmlns="http://schemas.openxmlformats.org/spreadsheetml/2006/main">
  <authors>
    <author>Contraloria</author>
    <author>tc={B83077C8-393B-4D90-9BB8-29A66010062B}</author>
  </authors>
  <commentList>
    <comment ref="F23" authorId="0" shapeId="0">
      <text>
        <r>
          <rPr>
            <b/>
            <sz val="9"/>
            <color indexed="81"/>
            <rFont val="Tahoma"/>
            <family val="2"/>
          </rPr>
          <t>Contraloria: SELECCIONE DE LA LISTA DESPLEGABLE LA VALORACIÓN OBTENIDA DE LA MATRIZ DE RIESGO Y CONTROLES PARA EL PROCESO DE GASTO PUBLICO (I17)</t>
        </r>
      </text>
    </comment>
    <comment ref="F28" authorId="1" shapeId="0">
      <text>
        <r>
          <rPr>
            <sz val="11"/>
            <color theme="1"/>
            <rFont val="Calibri"/>
            <family val="2"/>
            <scheme val="minor"/>
          </rPr>
          <t xml:space="preserve">Si no es posible cumplir con el tamaño mínimo de la muestra, dejar justificación en el Plan de Trabajo. </t>
        </r>
      </text>
    </comment>
    <comment ref="I65" authorId="0" shapeId="0">
      <text>
        <r>
          <rPr>
            <b/>
            <sz val="9"/>
            <color indexed="81"/>
            <rFont val="Tahoma"/>
            <family val="2"/>
          </rPr>
          <t>Contraloria:</t>
        </r>
        <r>
          <rPr>
            <sz val="9"/>
            <color indexed="81"/>
            <rFont val="Tahoma"/>
            <family val="2"/>
          </rPr>
          <t xml:space="preserve">
TRAER VALOR DE LA MATRIZ DE RIESGO FISCAL. O DE LA MATRIZ DE RIESGO CONTROL FISCAL INTERNO</t>
        </r>
      </text>
    </comment>
  </commentList>
</comments>
</file>

<file path=xl/comments7.xml><?xml version="1.0" encoding="utf-8"?>
<comments xmlns="http://schemas.openxmlformats.org/spreadsheetml/2006/main">
  <authors>
    <author>Roberto Jimenez Rodriguez</author>
    <author>administrador</author>
  </authors>
  <commentList>
    <comment ref="B11" authorId="0" shapeId="0">
      <text>
        <r>
          <rPr>
            <b/>
            <sz val="9"/>
            <color indexed="81"/>
            <rFont val="Tahoma"/>
            <family val="2"/>
          </rPr>
          <t>Roberto Jimenez Rodriguez:</t>
        </r>
        <r>
          <rPr>
            <sz val="9"/>
            <color indexed="81"/>
            <rFont val="Tahoma"/>
            <family val="2"/>
          </rPr>
          <t xml:space="preserve">
OCULTAR ESTA INFORMACIÓN
</t>
        </r>
      </text>
    </comment>
    <comment ref="D21" authorId="1" shapeId="0">
      <text>
        <r>
          <rPr>
            <b/>
            <sz val="9"/>
            <color indexed="81"/>
            <rFont val="Tahoma"/>
            <family val="2"/>
          </rPr>
          <t>Administrador:</t>
        </r>
        <r>
          <rPr>
            <sz val="9"/>
            <color indexed="81"/>
            <rFont val="Tahoma"/>
            <family val="2"/>
          </rPr>
          <t xml:space="preserve">
La lectura del Resultado debe interprestarse de acuerdo con la Naturaleza Juridica del Sujeto de Control Fiscal y su Régimen de Contratación Aplicable.</t>
        </r>
      </text>
    </comment>
  </commentList>
</comments>
</file>

<file path=xl/sharedStrings.xml><?xml version="1.0" encoding="utf-8"?>
<sst xmlns="http://schemas.openxmlformats.org/spreadsheetml/2006/main" count="5560" uniqueCount="1943">
  <si>
    <t>Dirección Sectorial:</t>
  </si>
  <si>
    <t>Sujeto de Control auditado:</t>
  </si>
  <si>
    <t>Vigencia auditada:</t>
  </si>
  <si>
    <t>Código Auditoría:</t>
  </si>
  <si>
    <t>Fecha de elaboración:</t>
  </si>
  <si>
    <t>Fecha de revisión</t>
  </si>
  <si>
    <t>CONTRATOS SUSCRITOS EN LA VIGENCIA AUDITAR</t>
  </si>
  <si>
    <t>MODALIDAD DE SELECCIÓN</t>
  </si>
  <si>
    <t>CANTIDAD CONTRATOS SUSCRITOS</t>
  </si>
  <si>
    <t>VALOR CONTRATOS</t>
  </si>
  <si>
    <t>% DEL VALOR TOTAL</t>
  </si>
  <si>
    <t>PAGOS REALIZADOS EN LA VIGENCIA A AUDITAR</t>
  </si>
  <si>
    <t>% DE PAGOS
(Total Pagado / Total Valor Contratos)</t>
  </si>
  <si>
    <t>1 LICITACIÓN PÚBLICA</t>
  </si>
  <si>
    <t>1 Licitación pública</t>
  </si>
  <si>
    <t>2 SELECCIÓN ABREVIADA</t>
  </si>
  <si>
    <t>2 Selección abreviada</t>
  </si>
  <si>
    <t>3 CONCURSO DE MÉRITOS</t>
  </si>
  <si>
    <t>3 Concurso de méritos</t>
  </si>
  <si>
    <t>4 MÍNIMA CUANTÍA</t>
  </si>
  <si>
    <t>4 Mínima cuantía</t>
  </si>
  <si>
    <t>5 CONTRATACIÓN DIRECTA</t>
  </si>
  <si>
    <t>5 Contratación directa</t>
  </si>
  <si>
    <t>6 CONTRATACIÓN DIRECTA POR URGENCIA MANIFIESTA</t>
  </si>
  <si>
    <t>6 Contratación directa por Urgencia Manifiesta</t>
  </si>
  <si>
    <t>7 CONVOCATORIA PÚBLICA</t>
  </si>
  <si>
    <t>7 Convocatoria pública</t>
  </si>
  <si>
    <t>8 OTRA REGIMEN ESPECIAL</t>
  </si>
  <si>
    <t>8 Otra Regimen Especial</t>
  </si>
  <si>
    <t>9 INVITACIÓN DIRECTA</t>
  </si>
  <si>
    <t>9 Invitación Directa</t>
  </si>
  <si>
    <t>10 INVITACIÓN PÚBLICA</t>
  </si>
  <si>
    <t>10 Invitación Pública</t>
  </si>
  <si>
    <t>11 INVITACIÓN CERRADA</t>
  </si>
  <si>
    <t>11 Invitación Cerrada</t>
  </si>
  <si>
    <t>TOTAL</t>
  </si>
  <si>
    <t>Fuente: SIVICOF
Nota: Eliminar las filas de las modalidades de selección donde no aplique o no se tengan datos</t>
  </si>
  <si>
    <t>TIPOLOGIA</t>
  </si>
  <si>
    <t xml:space="preserve"> 10-CONTRATO DE OBRA</t>
  </si>
  <si>
    <t xml:space="preserve"> 21-CONSULTORÍA (INTERVENTORÍA)</t>
  </si>
  <si>
    <t xml:space="preserve"> 22-CONSULTORÍA (GERENCIA DE OBRA)</t>
  </si>
  <si>
    <t xml:space="preserve"> 23-CONSULTORÍA (GERENCIA DE PROYECTO)</t>
  </si>
  <si>
    <t xml:space="preserve"> 24-CONSULTORÍA (ESTUDIOS Y DISEÑOS TECNICOS)</t>
  </si>
  <si>
    <t xml:space="preserve"> 25-CONSULTORÍA (ESTUDIOS DE PREFACTIBILIDAD Y FACTIBILIDAD)</t>
  </si>
  <si>
    <t xml:space="preserve"> 26-CONSULTORÍA (ASESORÍA TÉCNICA)</t>
  </si>
  <si>
    <t xml:space="preserve"> 29-CONSULTORÍA (OTROS)</t>
  </si>
  <si>
    <t xml:space="preserve"> 30-SERVICIOS DE MANTENIMIENTO Y/O REPARACIÓN</t>
  </si>
  <si>
    <t xml:space="preserve"> 31-SERVICIOS PROFESIONALES</t>
  </si>
  <si>
    <t xml:space="preserve"> 32-SERVICIOS ARTÍSTICOS</t>
  </si>
  <si>
    <t xml:space="preserve"> 33-SERVICIOS APOYO A LA GESTION DE LA ENTIDAD (SERVICIOS ADMINISTRATI</t>
  </si>
  <si>
    <t xml:space="preserve"> 34-SERVICIOS ASISTENCIALES DE SALUD</t>
  </si>
  <si>
    <t xml:space="preserve"> 35-SERVICIOS DE COMUNICACIONES</t>
  </si>
  <si>
    <t xml:space="preserve"> 36-SERVICIOS DE EDICIÓN</t>
  </si>
  <si>
    <t xml:space="preserve"> 37-SERVICIOS DE IMPRESIÓN</t>
  </si>
  <si>
    <t xml:space="preserve"> 38-SERVICIOS DE PUBLICACIÓN</t>
  </si>
  <si>
    <t xml:space="preserve"> 39-SERVICIOS DE CAPACITACIÓN</t>
  </si>
  <si>
    <t xml:space="preserve"> 40-SERVICIOS DE OUTSOURCING</t>
  </si>
  <si>
    <t xml:space="preserve"> 41-DESARROLLO DE PROYECTOS CULTURALES</t>
  </si>
  <si>
    <t xml:space="preserve"> 42-SUMINISTRO DE BIENES EN GENERAL</t>
  </si>
  <si>
    <t xml:space="preserve"> 43-SUMINISTRO DE SERVICIO DE VIGILANCIA</t>
  </si>
  <si>
    <t xml:space="preserve"> 44-SUMINISTRO DE SERVICIO DE ASEO</t>
  </si>
  <si>
    <t xml:space="preserve"> 45-SUMUNISTRO DE ALIMENTOS</t>
  </si>
  <si>
    <t xml:space="preserve"> 46-SUMUNISTRO DE MEDICAMENTOS</t>
  </si>
  <si>
    <t xml:space="preserve"> 48-OTROS SUMINISTROS</t>
  </si>
  <si>
    <t xml:space="preserve"> 49-OTROS SERVICIOS</t>
  </si>
  <si>
    <t xml:space="preserve"> 50-SERVICIOS DE TRANSPORTE</t>
  </si>
  <si>
    <t xml:space="preserve"> 51-CONCESIÓN (ADMINISTRACIÓN DE BIENES)</t>
  </si>
  <si>
    <t xml:space="preserve"> 52-CONCESIÓN (SERVICIOS PÚBLICOS DOMICILIARIOS)</t>
  </si>
  <si>
    <t xml:space="preserve"> 54-CONCESIÓN (SERVICIOS DE SALUD)</t>
  </si>
  <si>
    <t xml:space="preserve"> 55-CONCESIÓN (OBRA PÚBLICA)</t>
  </si>
  <si>
    <t xml:space="preserve"> 59-CONCESIÓN (OTROS)</t>
  </si>
  <si>
    <t xml:space="preserve"> 61-CONTRATO DE FIDUCIA O ENCARGO FIDUCIARIO</t>
  </si>
  <si>
    <t xml:space="preserve"> 62-CONTRATO DE ADMINISTRACIÓN PROFESIONAL DE ACCIONES</t>
  </si>
  <si>
    <t xml:space="preserve"> 63-LEASING</t>
  </si>
  <si>
    <t xml:space="preserve"> 65-DEPÓSITOS</t>
  </si>
  <si>
    <t xml:space="preserve"> 69-OTRO TIPO DE CONTRATO FINANCIERO</t>
  </si>
  <si>
    <t xml:space="preserve"> 71-CORRETAJE O INTERMEDIACIÓN DE SEGUROS</t>
  </si>
  <si>
    <t xml:space="preserve"> 72-CONTRATO DE SEGUROS</t>
  </si>
  <si>
    <t xml:space="preserve"> 79-OTRO TIPO DE CONTRATO DE SEGUROS</t>
  </si>
  <si>
    <t xml:space="preserve"> 81-ADMINISTRACIÓN Y CUSTODIA DE BONOS DEL PROGRAMA</t>
  </si>
  <si>
    <t xml:space="preserve"> 84-ADMINISTRACIÓN Y CUSTODIA DE VALORES</t>
  </si>
  <si>
    <t xml:space="preserve"> 86-REPRESENTACIÓN DE TENEDORES DE BONOS</t>
  </si>
  <si>
    <t xml:space="preserve"> 99-OTROS CONTRATOS DE TÍTULOS VALORES</t>
  </si>
  <si>
    <t xml:space="preserve"> 119-OTROS CONTRATOS DE ASOCIACIÓN</t>
  </si>
  <si>
    <t xml:space="preserve"> 121-COMPRAVENTA (BIENES MUEBLES)</t>
  </si>
  <si>
    <t xml:space="preserve"> 122-COMPRAVENTA (BIENES INMUEBLES)</t>
  </si>
  <si>
    <t xml:space="preserve"> 131-ARRENDAMIENTO DE BIENES MUEBLES</t>
  </si>
  <si>
    <t xml:space="preserve"> 132-ARRENDAMIENTO DE BIENES INMUEBLES</t>
  </si>
  <si>
    <t xml:space="preserve"> 133-ADMINISTRACIÓN Y ENAJENACIÓN DE INMUEBLES</t>
  </si>
  <si>
    <t xml:space="preserve"> 161-DERECHOS DE AUTOR O PROPIEDAD INTELECTUAL</t>
  </si>
  <si>
    <t xml:space="preserve"> 162-DERECHOS DE PROPIEDAD INDUSTRIAL</t>
  </si>
  <si>
    <t xml:space="preserve"> 164-TRANSFERENCIA DE TECNOLOGÍA</t>
  </si>
  <si>
    <t xml:space="preserve"> 169-OTRO TIPO DE CONTRATO DE DERECHOS DE PROPIEDAD</t>
  </si>
  <si>
    <t xml:space="preserve"> 201-CONVENIO DE COOPERACIÓN Y ASISTENCIA TÉCNICA</t>
  </si>
  <si>
    <t xml:space="preserve"> 209-OTROS CONTRATOS CON ORGANISMOS MULTILATERALES</t>
  </si>
  <si>
    <t xml:space="preserve"> 211-CONVENIO INTERADMINISTRATIVO</t>
  </si>
  <si>
    <t xml:space="preserve"> 212-CONVENIO INTERADMINISTRATIVO DE COFINANCIACIÓN</t>
  </si>
  <si>
    <t xml:space="preserve"> 213-CONVENIO ADMINISTRATIVO</t>
  </si>
  <si>
    <t xml:space="preserve"> 219-OTROS TIPO DE CONVENIOS</t>
  </si>
  <si>
    <t xml:space="preserve"> 901-PERMUTA DE BIENES MUEBLES</t>
  </si>
  <si>
    <t xml:space="preserve"> 903-MANDATO</t>
  </si>
  <si>
    <t xml:space="preserve"> 904-COMODATO</t>
  </si>
  <si>
    <t xml:space="preserve"> 906-DONACIÓN</t>
  </si>
  <si>
    <t xml:space="preserve"> 907-CESIÓN</t>
  </si>
  <si>
    <t xml:space="preserve"> 908-APROVECHAMIENTO ECONOMICO (DEPORTES)</t>
  </si>
  <si>
    <t xml:space="preserve"> 909-SUSCRIPCIONES, AFILIACIONES</t>
  </si>
  <si>
    <t xml:space="preserve"> 910-CONTRATO DE ADM/ON. MANTENIM. Y APROVECH. ECONÓMICO DEL ESPACIO P</t>
  </si>
  <si>
    <t xml:space="preserve"> 911-CONTRATO INTERADMINISTRATIVO</t>
  </si>
  <si>
    <t xml:space="preserve"> 912-ADMINISTRACION DE RECURSOS DEL REGIMEN SUBSIDIADO</t>
  </si>
  <si>
    <t xml:space="preserve"> 999-OTRO TIPO DE NATURALEZA DE CONTRATOS</t>
  </si>
  <si>
    <t>Nota: Eliminar las filas de las tipologías de contratación donde no aplique o no se tengan datos</t>
  </si>
  <si>
    <t>AÑO SUSCRIPCIÓN CONTRATOS</t>
  </si>
  <si>
    <t>….</t>
  </si>
  <si>
    <t>VR. PAGADO</t>
  </si>
  <si>
    <t>VALOR ADICIONADO EN LA VIGENCIA A AUDITAR</t>
  </si>
  <si>
    <t>Gastos de personal</t>
  </si>
  <si>
    <t>Adquisición de bienes y servicios</t>
  </si>
  <si>
    <t>Gerente - Lider:</t>
  </si>
  <si>
    <t>Dirección Sector:</t>
  </si>
  <si>
    <t xml:space="preserve">210000 - DIRECCIÓN SECTOR SERVICIOS PÚBLICOS </t>
  </si>
  <si>
    <t>269 - Agencia de Analítica de Datos SAS - AGATA</t>
  </si>
  <si>
    <t>Vigencia Auditada:</t>
  </si>
  <si>
    <t>Fecha de revisión:</t>
  </si>
  <si>
    <t>MONTO</t>
  </si>
  <si>
    <t>AUDITORÍA FINANCIERA Y DE GESTIÓN (o de Regularidad) ANTERIOR</t>
  </si>
  <si>
    <t>AUDITORIA ACTUAL</t>
  </si>
  <si>
    <t>Hallazgos configurados en la auditoría anterior - Proceso de Gasto Público</t>
  </si>
  <si>
    <t>Concepto del Proceso de Gasto Público de la auditoría anterior</t>
  </si>
  <si>
    <t>Calificación del Control Fiscal Interno de la auditoría anterior del Proceso de Gasto Público</t>
  </si>
  <si>
    <t>Valoración del Riesgo Residual o Combinado de la vigencia auditar del Proceso de Gasto Público</t>
  </si>
  <si>
    <t>Hallazgos con Incidencia Fiscal o con Presunta Incidencia Penal</t>
  </si>
  <si>
    <t>Inefectivo</t>
  </si>
  <si>
    <t>Con deficiencias</t>
  </si>
  <si>
    <t>Medio</t>
  </si>
  <si>
    <t>Porcentaje de Materialidad</t>
  </si>
  <si>
    <t>Parámetro para Concepto según Materialidad (100% - % Materialidad)</t>
  </si>
  <si>
    <t>Porcentaje de Muestreo Mínimo según Nivel de Riesgo</t>
  </si>
  <si>
    <t>Tamaño Mínimo de la Muestra</t>
  </si>
  <si>
    <t>Hallazgos vigencias anteriores?</t>
  </si>
  <si>
    <t>VALOR</t>
  </si>
  <si>
    <t>Conceptos Gasto vigencia anterior</t>
  </si>
  <si>
    <t>Universo</t>
  </si>
  <si>
    <t>Hallazgos con Presunta Incidencia Disciplinaria</t>
  </si>
  <si>
    <t>Moderadamente Efectivo</t>
  </si>
  <si>
    <t xml:space="preserve"> </t>
  </si>
  <si>
    <t>Hallazgos Administrativos</t>
  </si>
  <si>
    <t>Efectivo</t>
  </si>
  <si>
    <t>Sin hallazgos</t>
  </si>
  <si>
    <t>No hay</t>
  </si>
  <si>
    <t/>
  </si>
  <si>
    <t>Riesgo Residual período auditado</t>
  </si>
  <si>
    <t>Calificación CFI - Gasto Público</t>
  </si>
  <si>
    <t>Crítico</t>
  </si>
  <si>
    <t>Inexistente</t>
  </si>
  <si>
    <t>Alto</t>
  </si>
  <si>
    <t>Ineficiente</t>
  </si>
  <si>
    <t>Bajo</t>
  </si>
  <si>
    <t>Eficiente</t>
  </si>
  <si>
    <t>Muestra Mín</t>
  </si>
  <si>
    <t>Mínimo con Concepto Vig Anterior</t>
  </si>
  <si>
    <t>Mínimo SIN Concepto Vig Anterior</t>
  </si>
  <si>
    <t>Riesgo de Control</t>
  </si>
  <si>
    <t>MATERIALIDAD</t>
  </si>
  <si>
    <t>Materialidad Relativa a la Muestra</t>
  </si>
  <si>
    <t>Parametro Minimo Concepto</t>
  </si>
  <si>
    <t>BAJO</t>
  </si>
  <si>
    <t>MEDIO</t>
  </si>
  <si>
    <t>ALTO</t>
  </si>
  <si>
    <t>ENTIDAD</t>
  </si>
  <si>
    <t xml:space="preserve">CONTRATO O GASTO </t>
  </si>
  <si>
    <t xml:space="preserve">NUMERO DE CONTRATO O GASTO </t>
  </si>
  <si>
    <t>PARAMETRO MÍNIMO PARA CONCEPTO FAVORABLE</t>
  </si>
  <si>
    <t>FECHA DE SUSCRIPCIÓN</t>
  </si>
  <si>
    <t>TIPO DE MONEDA</t>
  </si>
  <si>
    <t>TASA REPRESENTATIVA DE MERCADO</t>
  </si>
  <si>
    <t>VALOR TOTAL CONTRATO O GASTO EN PESOS</t>
  </si>
  <si>
    <t xml:space="preserve">VALOR TOTAL AUDITADO DE LA VIGENCIA EN PESOS </t>
  </si>
  <si>
    <t>PRINCIPIO</t>
  </si>
  <si>
    <t>CALIFICACION</t>
  </si>
  <si>
    <t>RESULTADO</t>
  </si>
  <si>
    <t>PERIODO EVALUADO DEL CONTRATO O GASTO</t>
  </si>
  <si>
    <t>Del 01-12-2018 al 09-09-2020</t>
  </si>
  <si>
    <t>Del 06-12-2016 al 17-09-2019</t>
  </si>
  <si>
    <t>Del 21-07-2017 al 21-10-2020</t>
  </si>
  <si>
    <t>Del 26-06-2019 al 10-11-2020</t>
  </si>
  <si>
    <t>Del 18-12-2019 al 15-07-2020</t>
  </si>
  <si>
    <t>Del 26-06-2019 al 31-08-2020</t>
  </si>
  <si>
    <t>ECONOMÍA</t>
  </si>
  <si>
    <t>TIPO DE CONTRATO O GASTO</t>
  </si>
  <si>
    <t>Contrato de Interventoría</t>
  </si>
  <si>
    <t>Convenio de Asociación</t>
  </si>
  <si>
    <t>Convenio Interadministrativo</t>
  </si>
  <si>
    <t>Contrato Interadministrativo</t>
  </si>
  <si>
    <t>EFICACIA</t>
  </si>
  <si>
    <t>NOMBRE DEL AUDITOR RESPONSABLE DEL CONTRATO</t>
  </si>
  <si>
    <t>EFICIENCIA</t>
  </si>
  <si>
    <t>ETAPA (S) A EVALUAR, SI APLICA</t>
  </si>
  <si>
    <t>ETAPA 1 Y 2</t>
  </si>
  <si>
    <t>TODAS LAS ETAPAS</t>
  </si>
  <si>
    <t>PONDERACIÓN DEL CONTRATO O GASTO</t>
  </si>
  <si>
    <t>CONCEPTO</t>
  </si>
  <si>
    <t>HALLAZGOS EN EL CONTRATO O GASTO ASOCIADO</t>
  </si>
  <si>
    <t>CON PRES. INCID. PENAL</t>
  </si>
  <si>
    <t>SIN HALLAZGOS</t>
  </si>
  <si>
    <t>CON PRES. INC. DISCIPLINARIA</t>
  </si>
  <si>
    <t>SOLO ADMINISTRATIVOS</t>
  </si>
  <si>
    <t>NUMERALES ASOCIADOS AL HALLAZGO</t>
  </si>
  <si>
    <t>ETAPA</t>
  </si>
  <si>
    <t>CONSTANTE</t>
  </si>
  <si>
    <t>PRINCIPIO DE LA GESTIÓN FISCAL</t>
  </si>
  <si>
    <t xml:space="preserve">RESULTADO DE LA GESTION DEL GASTO PÚBLICO </t>
  </si>
  <si>
    <t>CALIFICACIÓN</t>
  </si>
  <si>
    <t>PRECONTRACTUAL</t>
  </si>
  <si>
    <t>La contratación guarda coherencia con el Plan de Desarrollo (Planes, programas y proyectos de inversión y/o funcionamiento) o Plan Estratégico Corporativo (Objetivos Empresariales) y Plan Anual de Adquisiciones y Compras.</t>
  </si>
  <si>
    <t>La necesidad se ajustó al Plan de Desarrollo, Plan Estratégico Corporativo, Plan Anual de Adquisiciones y Compras, sus líneas de inversión y/o de funcionamiento, y fue coherente con los proyectos/ metas y/o rubro fuente de financiación.</t>
  </si>
  <si>
    <t xml:space="preserve">Se cuenta con un documento o instrumento que hace las veces de estudios previos o elemento mínimo de planeación, que permite identificar y justificar con claridad la necesidad de la contratación fundamentada en razones técnicas, económicas y jurídicas. </t>
  </si>
  <si>
    <t xml:space="preserve">Se identificó el documento o instrumento que hace las veces de estudios previos, en donde se define y se justifica adecuadamente la necesidad real de los bienes y/o servicios a contratar. </t>
  </si>
  <si>
    <t xml:space="preserve">El estudio técnico y presupuestal estimado para el contrato está acorde con los precios del mercado. </t>
  </si>
  <si>
    <t xml:space="preserve">El estudio técnico, presupuestal y de mercado, es riguroso y responde a las necesidades de los bienes y servicios descritos en los Estudios Previos y/o documento o instrumento que hace las veces, de acuerdo con el Régimen de Contratación Aplicable. </t>
  </si>
  <si>
    <t>Se contó con la competencia e idoneidad para adelantar el proceso de selección del contratista.</t>
  </si>
  <si>
    <t>El proceso de selección del contratista fue adelantado por personal idóneo dentro de los lineamientos de su competencia.</t>
  </si>
  <si>
    <t>Se identificó correctamente la modalidad de selección del contratista, conservando las condiciones y términos del proceso de selección.</t>
  </si>
  <si>
    <t>Se seleccionó al contratista con la modalidad de contratación conforme a la ley vigente del Régimen de Contratación Estatal y/o Régimen Jurídico Privado o especial, Manuales y/o Estatutos de Contratación Internos, acorde con el objeto contractual propuesto.</t>
  </si>
  <si>
    <t xml:space="preserve">Se permitió el acceso a todos los oferentes al proceso de selección cumpliendo con los requisitos de publicidad, transparencia y pluralidad de oferentes. </t>
  </si>
  <si>
    <t>El proceso de selección se realizó con objetividad, neutralidad y claridad de las reglas impuestas para la presentación de ofertas, cumpliendo con los principios de selección objetiva.</t>
  </si>
  <si>
    <t xml:space="preserve">El oferente y/o proveedor cumplió con la idoneidad y capacidad exigida para el desarrollo del objeto contractual. </t>
  </si>
  <si>
    <t>En la oferta se identificó claramente el proveedor, el tamaño de su empresa y no se evidenció posible colusión y/o acuerdos entre oferentes que afectaran la Selección y la Transparencia.</t>
  </si>
  <si>
    <t xml:space="preserve">ECONOMÍA </t>
  </si>
  <si>
    <t xml:space="preserve">Se contó con capacidad jurídica, técnica y financiera por el contratista que aseguró el desarrollo normal del contrato. (Certificado de Existencia y Representación Legal, Formulario de Registro Único Tributario). </t>
  </si>
  <si>
    <t xml:space="preserve">La experiencia acreditada de la oferta que se escogió tiene relación directa con el objeto contractual en su actividad económica y comercial. En casos aplicables al Régimen de Contratación Estatal se acreditó conforme a la codificación establecida por Colombia Compra Eficiente. </t>
  </si>
  <si>
    <t>Se efectuó la estimación, calificación y asignación de riesgos y constitución de garantías en esta etapa.</t>
  </si>
  <si>
    <t xml:space="preserve">Antes de cerrar el proceso precontractual se surtió la instancia (Audiencia) para la estimación, calificación y asignación de riesgos y se consideraron las garantías de acuerdo con las exigencias del compromiso (Documento que hizo las veces de pliego de condiciones). </t>
  </si>
  <si>
    <t xml:space="preserve">Se identificó y calificó los riesgos acorde a la necesidad real del bien y/o servicio a adquirir (CONPES -Teoría del riesgo previsible, asignación de riesgos) </t>
  </si>
  <si>
    <t>Los riesgos fueron amparados con las garantías derivadas de la etapa precontractual de conformidad con la ley vigente.  (Compañías de Seguros u otras Entidades autorizadas por la Superintendencia Financiera).</t>
  </si>
  <si>
    <t>CONTRACTUAL</t>
  </si>
  <si>
    <t>Los otrosí y/o suspensiones del contrato no generaron impacto económico, están debidamente justificados y fundamentados conforme al objeto contractual y en el mismo sentido se amplió y aprobó la vigencia de las garantías.
*Otrosí: adiciones, prórrogas, modificaciones.</t>
  </si>
  <si>
    <t xml:space="preserve">Los otrosí del contrato, contienen las justificaciones del interventor y/o supervisor, fundamentadas en causas reales y soportadas, y la vigencia de las garantías debidamente aprobadas. </t>
  </si>
  <si>
    <t xml:space="preserve">Las modificaciones contractuales no generaron impacto económico negativo o injustificado para el Sujeto de Vigilancia y Control Fiscal. (Se tuvieron en cuenta los elementos necesarios de la etapa precontractual en las modificaciones). </t>
  </si>
  <si>
    <t>Las mayores cantidades o ítems no previstos de obra que incrementaron el presupuesto del contrato, cuentan con un estudio de mercado justificado.</t>
  </si>
  <si>
    <t xml:space="preserve">El pago efectuado estuvo de acuerdo con las condiciones pactadas y la debida ejecución del contrato. </t>
  </si>
  <si>
    <t xml:space="preserve">La capacidad técnica, económica e idoneidad ofertada se mantuvieron durante la ejecución del contrato, (No se presentaron cambios en el objeto contractual derivados de las modificaciones). </t>
  </si>
  <si>
    <t>La supervisión y/o interventoría cumple eficazmente con los propósitos normativos vigentes y su vez con los procesos y procedimientos establecidos por el sujeto de vigilancia y control fiscal en sus instrumentos internos.</t>
  </si>
  <si>
    <t>Los informes de interventoría y/o supervisión dieron cuenta del cumplimiento de la totalidad de las obligaciones pactadas en el contrato, en forma clara, amplia y precisa.</t>
  </si>
  <si>
    <t xml:space="preserve">El supervisor efectuó revisiones y visitas periódicas a las obras ejecutadas, servicios prestados o bienes suministrados, verificando que ellos cumplieran con las condiciones ofrecidas por el contratista. </t>
  </si>
  <si>
    <t>El interventor y/o supervisor ejecutó sus funciones de acuerdo con las obligaciones y/o manual de interventoría y contratación interno y Estatal, reflejándose en los informes presentados, las condiciones técnicas, administrativas, económicas, financieras y legales verificadas.</t>
  </si>
  <si>
    <t>Las medidas de apremio fueron tramitadas oportunamente. (Sanciones por incumplimientos).</t>
  </si>
  <si>
    <t xml:space="preserve">La supervisión y/o interventoría adelantó oportunamente las gestiones necesarias para el reconocimiento y cobro de las sanciones pecuniarias, multas y garantías a que hubiere lugar. </t>
  </si>
  <si>
    <t xml:space="preserve">Los riesgos previsibles asegurados o asignados a cualquiera de las partes, se mitigaron adecuadamente. </t>
  </si>
  <si>
    <t xml:space="preserve">Se suscribieron las pólizas en los tiempos, amparos y condiciones pactadas y fueron debidamente aprobadas por el interventor y/o supervisor del contrato. </t>
  </si>
  <si>
    <t>Se mitigó adecuadamente un riesgo que no había sido asignado o previsto.</t>
  </si>
  <si>
    <t>Se adelantaron actuaciones administrativas en el cumplimiento de las obligaciones contractuales para hacer efectivas las garantías oportunamente y los montos recuperados cubrieron la totalidad del siniestro.</t>
  </si>
  <si>
    <t xml:space="preserve">Los bienes y servicios recibidos y pagados por el Sujeto de Vigilancia y Control Fiscal, fueron los efectivamente contratados. </t>
  </si>
  <si>
    <t>Los bienes y servicios contratados cumplieron con las condiciones pactadas en costo, cantidad, tiempo, calidad, especificaciones técnicas  y estaban funcionando adecuadamente al momento de la verificación. (Incluye recepción del producto - Actas de recibido a satisfacción).</t>
  </si>
  <si>
    <t>POSTCONTRACTUAL O LIQUIDACIÓN</t>
  </si>
  <si>
    <t>Se verificó el cumplimiento de las obligaciones contractuales y el pago de la totalidad del contrato declarándolo a paz y salvo. Así mismo, las obligaciones por cumplir o posteriores, fueron redactadas de forma clara, expresa y exigible para evitar reclamaciones futuras con sus respectivas pólizas y/o garantías.</t>
  </si>
  <si>
    <t xml:space="preserve">En el acta de liquidación, se evidenció el cumplimiento de las obligaciones contractuales, paz y salvos de lo cancelado al contratista y claramente detalladas en tiempo, costo y oportunidad las obligaciones reciprocas pendientes, así como, sus correspondientes pólizas y/o garantías. </t>
  </si>
  <si>
    <t xml:space="preserve">En la liquidación del contrato, se generó un instrumento de cruce de cuentas entre las partes.  </t>
  </si>
  <si>
    <t>En el instrumento y sus anexos se identificó claramente: el contrato, las partes, objeto y alcance, plazo, precio, pagos y facturaciones, amortizaciones, modificaciones, la forma de cómo se utilizó el anticipo (cuando aplique), prórrogas, adiciones, suspensiones,  balance financiero y cruce de cuentas conforme a la Ley vigente y Estatutos Internos del Sujeto de Vigilancia y Control Fiscal.</t>
  </si>
  <si>
    <t>Se evidenció el pagó conforme a los requisitos establecidos en las obligaciones pactadas en el contrato, sus manuales internos, la ley vigente comercial, contable y tributaria.</t>
  </si>
  <si>
    <t xml:space="preserve">El reintegro de los rendimientos, excedentes y la administración del anticipo, se realizó conforme a lo pactado en el contrato, lo que ordena la Ley vigente como garantía y lo dispuesto en los Estatutos Internos y Procedimientos impartidos por cada Sujeto de Vigilancia y Control Fiscal. </t>
  </si>
  <si>
    <t xml:space="preserve">Los costos de la comisión, gastos y gravámenes por movimiento financiero, fueron cubiertos por el contratista, sin afectar el valor del anticipo. </t>
  </si>
  <si>
    <t>Se determinó si existen o no prestaciones por ejecutar con su correlativa valoración económica. (Acta de liquidación u otro documento)</t>
  </si>
  <si>
    <t xml:space="preserve">En la liquidación del contrato, los bienes y servicios recibidos y pagados por el Sujeto de Vigilancia y Control Fiscal, fueron los efectivamente contratados. </t>
  </si>
  <si>
    <t>En la liquidación del contrato se verificó, que los bienes y servicios recibidos cumplieron con las condiciones pactadas en cantidad, calidad, especificaciones técnicas, oportunidad y estaban funcionando adecuadamente. (Incluye recepción del producto - Actas de recibido a satisfacción).</t>
  </si>
  <si>
    <t xml:space="preserve">Por incumplimiento de las obligaciones contractuales, el Sujeto de Vigilancia y Control Fiscal, ejecutó acciones orientadas a resarcir el daño ocasionado. </t>
  </si>
  <si>
    <t xml:space="preserve">Se determinó que los productos o servicios contratados contribuyeron al cumplimiento de los objetivos del Plan de Desarrollo (Planes, programas y proyectos de inversión y/o funcionamiento) o Plan Estratégico Corporativo (Objetivos Empresariales) y Plan Anual de Adquisiciones y Compras. </t>
  </si>
  <si>
    <t>Los bienes y servicios recibidos suplieron efectivamente la necesidad que origino el contrato y apuntaron al cumplimiento de las metas del plan.</t>
  </si>
  <si>
    <t xml:space="preserve">El beneficio obtenido con la ejecución del contrato es verificable; además contribuyó con los objetivos y las metas del proyecto de inversión y/o funcionamiento. </t>
  </si>
  <si>
    <t>OTROS</t>
  </si>
  <si>
    <t>Otros Resultados no definidos en las variables que le anteceden y son producto de la evaluación del proceso auditor.</t>
  </si>
  <si>
    <t>CALIFICACION  CONTRATO</t>
  </si>
  <si>
    <t>EFICACIA DEL CONTRATO</t>
  </si>
  <si>
    <t>ECONOMÍA DEL CONTRATO</t>
  </si>
  <si>
    <t>EFICIENCIA DEL CONTRATO</t>
  </si>
  <si>
    <t>CALIFICACION PONDERADA POR PRINCIPIO</t>
  </si>
  <si>
    <t>EFICACIA PONDERADA POR CONTRATO</t>
  </si>
  <si>
    <t>ECONOMÍA PONDERADA POR CONTRATO</t>
  </si>
  <si>
    <t>EFICIENCIA PONDERADA POR CONTRATO</t>
  </si>
  <si>
    <t>TOTAL CONTRATO</t>
  </si>
  <si>
    <t>RANGOS DE CALIFICACIÓN DE LA GESTIÓN DEL PROCESO DE GASTO PÚBLICO</t>
  </si>
  <si>
    <t>COP</t>
  </si>
  <si>
    <t>NIVEL DE RIESGO</t>
  </si>
  <si>
    <t>USD</t>
  </si>
  <si>
    <t>Concepto</t>
  </si>
  <si>
    <t>MÁXIMO</t>
  </si>
  <si>
    <t>MÍNIMO</t>
  </si>
  <si>
    <t>DESFAVORABLE</t>
  </si>
  <si>
    <t>INEFECTIVO</t>
  </si>
  <si>
    <t>EFECTIVO</t>
  </si>
  <si>
    <t>CON OBSERVACIONES</t>
  </si>
  <si>
    <t>MODERADAMENTE EFECTIVO</t>
  </si>
  <si>
    <t>FAVORABLE</t>
  </si>
  <si>
    <t>RESULTADO DEL EJERCICIO AUDITOR</t>
  </si>
  <si>
    <t>cuantitativa</t>
  </si>
  <si>
    <t>CON INCIDENCIA FISCAL</t>
  </si>
  <si>
    <t>CON INCID. FISCAL Y PRES. DISCIPLINARIA</t>
  </si>
  <si>
    <t>CON INCID. FISCAL Y PRES. PENAL</t>
  </si>
  <si>
    <t>cualitativa</t>
  </si>
  <si>
    <t>CON INCID. FISCAL, PRES. DISCPL Y PENAL</t>
  </si>
  <si>
    <t>CON PRES. INC. PENAL Y DISCIPLINARIA</t>
  </si>
  <si>
    <t>Sujetos de Control Fiscal</t>
  </si>
  <si>
    <t xml:space="preserve">1 - Fondo de Desarrollo Local de Usaquén. </t>
  </si>
  <si>
    <t>CÓDIGO</t>
  </si>
  <si>
    <t>DEPENDENCIA</t>
  </si>
  <si>
    <t>CONCATENADO</t>
  </si>
  <si>
    <t xml:space="preserve">10 - Fondo de Desarrollo Local de Engativá. </t>
  </si>
  <si>
    <t xml:space="preserve">DIRECCIÓN SECTOR SALUD </t>
  </si>
  <si>
    <t xml:space="preserve">100 - Concejo de Bogotá, D.C. </t>
  </si>
  <si>
    <t xml:space="preserve">DIRECCIÓN SECTOR GOBIERNO </t>
  </si>
  <si>
    <t xml:space="preserve">102 - Personería de Bogotá. </t>
  </si>
  <si>
    <t xml:space="preserve">DIRECCIÓN DE PARTICIPACIÓN CIUDADANA Y DESARROLLO LOCAL </t>
  </si>
  <si>
    <t xml:space="preserve">104 - Secretaría General de la Alcaldía Mayor de Bogotá, D.C. – SGAMB. </t>
  </si>
  <si>
    <t xml:space="preserve">DIRECCIÓN SECTOR EQUIDAD Y GÉNERO </t>
  </si>
  <si>
    <t xml:space="preserve">105 - Veeduría Distrital. </t>
  </si>
  <si>
    <t>GERENCIA LOCAL USAQUÉN</t>
  </si>
  <si>
    <t xml:space="preserve">11 - Fondo de Desarrollo Local de Suba. </t>
  </si>
  <si>
    <t xml:space="preserve">GERENCIA LOCAL CHAPINERO </t>
  </si>
  <si>
    <t xml:space="preserve">110 - Secretaría Distrital de Gobierno – SDG. </t>
  </si>
  <si>
    <t>GERENCIA LOCAL SANTAFÉ</t>
  </si>
  <si>
    <t xml:space="preserve">111 - Secretaría Distrital de Hacienda – SDH. </t>
  </si>
  <si>
    <t xml:space="preserve">GERENCIA LOCAL SAN CRISTÓBAL </t>
  </si>
  <si>
    <t xml:space="preserve">112 - Secretaría de Educación del Distrito – SED - Fondos de Servicios Educativos de los Colegios e Instituciones adscritas a la Secretaría de Educación del Distrito. </t>
  </si>
  <si>
    <t xml:space="preserve">GERENCIA LOCAL USME </t>
  </si>
  <si>
    <t xml:space="preserve">113 - Secretaría Distrital de Movilidad – SDM. </t>
  </si>
  <si>
    <t xml:space="preserve">GERENCIA LOCAL TUNJUELLTO </t>
  </si>
  <si>
    <t xml:space="preserve">114 - Secretaría Distrital de Salud – SDS. </t>
  </si>
  <si>
    <t xml:space="preserve">GERENCIA LOCAL BOSA </t>
  </si>
  <si>
    <t xml:space="preserve">117 - Secretaría Distrital de Desarrollo Económico – SDDE. </t>
  </si>
  <si>
    <t xml:space="preserve">GERENCIA LOCAL KENNEDY </t>
  </si>
  <si>
    <t xml:space="preserve">118 - Secretaría Distrital del Hábitat - SDHT. </t>
  </si>
  <si>
    <t xml:space="preserve">GERENCIA LOCAL FONTIBÓN </t>
  </si>
  <si>
    <t xml:space="preserve">119 - Secretaría Distrital de Cultura, Recreación y Deporte – SDCRD. </t>
  </si>
  <si>
    <t xml:space="preserve">GERENCIA LOCAL ENGATIVÁ </t>
  </si>
  <si>
    <t xml:space="preserve">12 - Fondo de Desarrollo Local de Barrios Unidos. </t>
  </si>
  <si>
    <t xml:space="preserve">GERENCIA LOCAL SUBA </t>
  </si>
  <si>
    <t xml:space="preserve">120 - Secretaría Distrital de Planeación – SDP. </t>
  </si>
  <si>
    <t xml:space="preserve">GERENCIA LOCAL BARRIOS UNIDOS </t>
  </si>
  <si>
    <t xml:space="preserve">121 - Secretaría Distrital de la Mujer – SDM. </t>
  </si>
  <si>
    <t xml:space="preserve">GERENCIA LOCAL TEUSAQUILLO </t>
  </si>
  <si>
    <t xml:space="preserve">122 - Secretaría Distrital de Integración Social – SDIS. </t>
  </si>
  <si>
    <t xml:space="preserve">GERENCIA LOCAL MÁRTIRES </t>
  </si>
  <si>
    <t xml:space="preserve">125 - Departamento Administrativo del Servicio Civil Distrital – DASCD. </t>
  </si>
  <si>
    <t>GERENCIA LOCAL ANTONIO NARIÑO</t>
  </si>
  <si>
    <t xml:space="preserve">126 - Secretaría Distrital de Ambiente – SDA. </t>
  </si>
  <si>
    <t xml:space="preserve">GERENCIA LOCAL PUENTE ARANDA </t>
  </si>
  <si>
    <t xml:space="preserve">127 - Departamento Administrativo de la Defensoría del Espacio Público – DADEP. </t>
  </si>
  <si>
    <t xml:space="preserve">GERENCIA LOCAL LA CANDELARIA </t>
  </si>
  <si>
    <t xml:space="preserve">13 - Fondo de Desarrollo Local de Teusaquillo. </t>
  </si>
  <si>
    <t>GERENCIA LOCAL RAFAEL URIBE URIBE</t>
  </si>
  <si>
    <t xml:space="preserve">131 - Unidad Administrativa Especial del Cuerpo Oficial de Bomberos de Bogotá – UAECOB. </t>
  </si>
  <si>
    <t xml:space="preserve">GERENCIA LOCAL CIUDAD BOLIVAR </t>
  </si>
  <si>
    <t xml:space="preserve">136 - Secretaría Jurídica Distrital – SJD. </t>
  </si>
  <si>
    <t xml:space="preserve">GERENCIA LOCAL SUMAPAZ </t>
  </si>
  <si>
    <t xml:space="preserve">137 - Secretaría Distrital de Seguridad, Convivencia y Justicia – SDSCJ. </t>
  </si>
  <si>
    <t xml:space="preserve">DIRECCIÓN SECTOR HÁBITAT Y AMBIENTE </t>
  </si>
  <si>
    <t xml:space="preserve">14 - Fondo de Desarrollo Local de Los Mártires. </t>
  </si>
  <si>
    <t xml:space="preserve">DIRECCIÓN SECTOR EDUCACIÓN </t>
  </si>
  <si>
    <t xml:space="preserve">15 - Fondo de Desarrollo Local de Antonio Nariño. </t>
  </si>
  <si>
    <t xml:space="preserve">DIRECCIÓN SECTOR HACIENDA </t>
  </si>
  <si>
    <t xml:space="preserve">16 - Fondo de Desarrollo Local de Puente Aranda. </t>
  </si>
  <si>
    <t xml:space="preserve">DIRECCIÓN SECTOR DESARROLLO ECONÓMICO, INDUSTRIA Y TURISMO </t>
  </si>
  <si>
    <t xml:space="preserve">17 - Fondo de Desarrollo Local de La Candelaria. </t>
  </si>
  <si>
    <t xml:space="preserve">DIRECCIÓN SECTOR INTEGRACIÓN SOCIAL </t>
  </si>
  <si>
    <t xml:space="preserve">18 - Fondo de Desarrollo Local de Rafael Uribe Uribe. </t>
  </si>
  <si>
    <t xml:space="preserve">DIRECCIÓN SECTOR SERVICIOS PÚBLICOS </t>
  </si>
  <si>
    <t xml:space="preserve">19 - Fondo de Desarrollo Local de Ciudad Bolívar. </t>
  </si>
  <si>
    <t xml:space="preserve">DIRECCIÓN SECTOR CULTURA, RECREACIÓN Y DEPORTE </t>
  </si>
  <si>
    <t xml:space="preserve">2 - Fondo de Desarrollo Local de Chapinero. </t>
  </si>
  <si>
    <t>DIRECCIÓN SECTOR SEGURIDAD, CONVIVENCIA Y JUSTICIA</t>
  </si>
  <si>
    <t xml:space="preserve">20 - Fondo de Desarrollo Local de Sumapaz. </t>
  </si>
  <si>
    <t xml:space="preserve">DIRECCIÓN SECTOR MOVILIDAD </t>
  </si>
  <si>
    <t xml:space="preserve">200 - Instituto para la Economía Social – IPES. </t>
  </si>
  <si>
    <t xml:space="preserve">DIRECCIÓN SECTOR GESTIÓN JURIDICA </t>
  </si>
  <si>
    <t xml:space="preserve">201 - Fondo Financiero Distrital de Salud – FFDS. </t>
  </si>
  <si>
    <t xml:space="preserve">202 - Curaduría Urbana N° 1 de Bogotá. </t>
  </si>
  <si>
    <t xml:space="preserve">203 - Instituto Distrital de Gestión de Riesgos y Cambio Climático – IDIGER. </t>
  </si>
  <si>
    <t xml:space="preserve">204 - Instituto de Desarrollo Urbano – IDU. </t>
  </si>
  <si>
    <t xml:space="preserve">205 - Curaduría Urbana N° 2 de Bogotá. </t>
  </si>
  <si>
    <t xml:space="preserve">206 - Fondo de Prestaciones Económicas, Cesantías y Pensiones – FONCEP. </t>
  </si>
  <si>
    <t xml:space="preserve">207 - Curaduría Urbana N° 4 de Bogotá. </t>
  </si>
  <si>
    <t xml:space="preserve">208 - Caja de Vivienda Popular – CVP. </t>
  </si>
  <si>
    <t xml:space="preserve">209 - Curaduría Urbana N° 3 de Bogotá. </t>
  </si>
  <si>
    <t xml:space="preserve">210 - Curaduría Urbana N° 5 de Bogotá. </t>
  </si>
  <si>
    <t xml:space="preserve">211 - Instituto Distrital de Recreación y Deporte – IDRD. </t>
  </si>
  <si>
    <t xml:space="preserve">213 - Instituto Distrital de Patrimonio Cultural – IDPC. </t>
  </si>
  <si>
    <t>214 - Instituto Distrital para la Protección de la Niñez y la Juventud – IDIPRON.</t>
  </si>
  <si>
    <t xml:space="preserve">215 - Fundación Gilberto Álzate Avendaño – FUGA. </t>
  </si>
  <si>
    <t xml:space="preserve">216 - Orquesta Filarmónica de Bogotá – OFB. </t>
  </si>
  <si>
    <t xml:space="preserve">218 - Jardín Botánico José Celestino Mutis – JBJCM. </t>
  </si>
  <si>
    <t xml:space="preserve">219 - Instituto para la Investigación Educativa y el Desarrollo Pedagógico – IDEP. </t>
  </si>
  <si>
    <t xml:space="preserve">220 - Instituto Distrital de la Participación y Acción Comunal – IDPAC. </t>
  </si>
  <si>
    <t xml:space="preserve">221 - Instituto Distrital de Turismo – IDT. </t>
  </si>
  <si>
    <t xml:space="preserve">222 - Instituto Distrital de las Artes – IDARTES. </t>
  </si>
  <si>
    <t xml:space="preserve">226 - Unidad Administrativa Especial de Catastro Distrital - UAECD  </t>
  </si>
  <si>
    <t xml:space="preserve">227 - Unidad Administrativa Especial de Rehabilitación y Mantenimiento Vial – UAERMV. </t>
  </si>
  <si>
    <t xml:space="preserve">228 - Unidad Administrativa Especial de Servicios Públicos - UAESP </t>
  </si>
  <si>
    <t xml:space="preserve">229 - Instituto Distrital de Protección y Bienestar Animal – IDPYBA. </t>
  </si>
  <si>
    <t xml:space="preserve">230 - Universidad Distrital Francisco José de Caldas. </t>
  </si>
  <si>
    <t xml:space="preserve">240 - Lotería de Bogotá. </t>
  </si>
  <si>
    <t xml:space="preserve">260 - Canal Capital. </t>
  </si>
  <si>
    <t xml:space="preserve">262 - Empresa de Transporte del Tercer Milenio - Transmilenio S.A. </t>
  </si>
  <si>
    <t xml:space="preserve">263 - Empresa de Renovación y Desarrollo Urbano de Bogotá D.C. – ERU. </t>
  </si>
  <si>
    <t xml:space="preserve">264 - Aguas de Bogotá S.A. E.S.P. </t>
  </si>
  <si>
    <t xml:space="preserve">265 - Empresa de Acueducto y Alcantarillado de Bogotá, EAAB -E.S.P.  </t>
  </si>
  <si>
    <t xml:space="preserve">266 - Metro de Bogotá S.A. </t>
  </si>
  <si>
    <t xml:space="preserve">3 - Fondo de Desarrollo Local de Santa Fe. </t>
  </si>
  <si>
    <t xml:space="preserve">311 - Terminal de Transporte S.A.  </t>
  </si>
  <si>
    <t xml:space="preserve">317 - Corporación para el Desarrollo y la Productividad Bogotá Región - INVEST IN BOGOTÁ. </t>
  </si>
  <si>
    <t xml:space="preserve">4 - Fondo de Desarrollo Local de San Cristóbal. </t>
  </si>
  <si>
    <t xml:space="preserve">423 - Subred Integrada de Servicios de Salud Centro Oriente E.S.E.   </t>
  </si>
  <si>
    <t xml:space="preserve">424 - Subred Integrada de Servicios de Salud Sur Occidente E.S.E. </t>
  </si>
  <si>
    <t xml:space="preserve">425 - Subred Integrada de Servicios de Salud Sur E.S.E. </t>
  </si>
  <si>
    <t xml:space="preserve">426 - Subred Integrada de Servicios de Salud Norte E.S.E.  </t>
  </si>
  <si>
    <t xml:space="preserve">428 - Capital Salud. Entidad promotora de salud del régimen subsidiado S.A.S. - CAPITAL SALUD EPS-S S.A.S. </t>
  </si>
  <si>
    <t xml:space="preserve">429 - Instituto Distrital de Ciencia, Biotecnología e Innovación en Salud – IDCBIS. </t>
  </si>
  <si>
    <t xml:space="preserve">430 - Entidad de Gestión Administrativa y Técnica – EGAT. </t>
  </si>
  <si>
    <t>431 - ENEL Colombia S.A. E.S.P.</t>
  </si>
  <si>
    <t xml:space="preserve">5 - Fondo de Desarrollo Local de Usme. </t>
  </si>
  <si>
    <t xml:space="preserve">500 - Fondo Distrital para la Gestión de Riesgos y Cambio Climático de Bogotá D.C. –FONDIGER. </t>
  </si>
  <si>
    <t>501 -Agencia Distrital para la Educación Superior, la Ciencia y la Tecnología - ATENEA</t>
  </si>
  <si>
    <t xml:space="preserve">515 - Corporación Maloka de Ciencia, Tecnología e Innovación – MALOKA. </t>
  </si>
  <si>
    <t xml:space="preserve">6 - Fondo de Desarrollo Local de Tunjuelito. </t>
  </si>
  <si>
    <t xml:space="preserve">7 - Fondo de Desarrollo Local de Bosa. </t>
  </si>
  <si>
    <t xml:space="preserve">702 - Compañía de Distribución y Comercialización de Energía S.A. E.S.P. CODENSA S.A. E.S.P. </t>
  </si>
  <si>
    <t xml:space="preserve">704 - Compañía Colombiana de Servicios de Valor Agregado y Telemático S.A. ESP - COLVATEL S.A E.S.P. </t>
  </si>
  <si>
    <t xml:space="preserve">705 - Empresa Generadora de Energía S.A. E.S.P. - EMGESA S.A. E.S.P. </t>
  </si>
  <si>
    <t xml:space="preserve">708 - Empresa de Telecomunicaciones de Bogotá S.A. E.S.P. </t>
  </si>
  <si>
    <t xml:space="preserve">709 - Américas Business Process Services S.A. </t>
  </si>
  <si>
    <t xml:space="preserve">710 - Grupo Energía Bogotá S.A. E.S.P. – GEB S.A. E.S.P. </t>
  </si>
  <si>
    <t xml:space="preserve">712 - VANTI S.A. ESP </t>
  </si>
  <si>
    <t xml:space="preserve">718 - Transportadora de Gas Internacional S.A. E.S.P.– TGI S.A. E.S.P. </t>
  </si>
  <si>
    <t xml:space="preserve">721 - Caudales de Colombia S.A. E.S.P. </t>
  </si>
  <si>
    <t xml:space="preserve">729 - SKYNET de Colombia S.A. E.S.P. </t>
  </si>
  <si>
    <t xml:space="preserve">8 - Fondo de Desarrollo Local de Kennedy. </t>
  </si>
  <si>
    <t xml:space="preserve">9 - Fondo de Desarrollo Local de Fontibón. </t>
  </si>
  <si>
    <t>ETAPA 1</t>
  </si>
  <si>
    <t>ETAPA 2</t>
  </si>
  <si>
    <t>ETAPA 3</t>
  </si>
  <si>
    <t>ETAPAS 2 Y 3</t>
  </si>
  <si>
    <t>% DE PAGOS
(Total Pagado /  Valor Contratos)</t>
  </si>
  <si>
    <t>Nivel de Riesgo de control fiscal en el Proceso de Gasto Público</t>
  </si>
  <si>
    <t>Adquisición de activos financieros</t>
  </si>
  <si>
    <t>Disminución de pasivos</t>
  </si>
  <si>
    <t>Gastos por tributos, tasas, contribuciones, multas, sanciones e intereses de mora</t>
  </si>
  <si>
    <t>Servicio de la deuda pública</t>
  </si>
  <si>
    <t xml:space="preserve">TOTAL </t>
  </si>
  <si>
    <t>Gastos de comercialización y producción</t>
  </si>
  <si>
    <t>CONTRATOS SUSCRITOS EN VIGENCIAS ANTERIORES CON GESTIÓN FISCAL EN LA VIGENCIA A AUDITAR  (AÑO n)</t>
  </si>
  <si>
    <t>ADICIONES A CONTRATOS SUSCRITOS EN VIGENCIAS ANTERIORES EFECTUADAS DENTRO DE LA VIGENCIA AUDITAR (AÑO n)</t>
  </si>
  <si>
    <t>ADICIONES A CONTRATOS SUSCRITOS EN VIGENCIAS ANTERIORES EFECTUADAS DENTRO DE LA VIGENCIA AUDITAR</t>
  </si>
  <si>
    <t>I. Seleccione la(s) unidad(es) de análisis de acuerdo al entendimiento del sujeto de control y el juicio profesional :</t>
  </si>
  <si>
    <t xml:space="preserve">UNIDAD DE ANÁLISIS </t>
  </si>
  <si>
    <t>ELEMENTOS DEL UNIVERSO</t>
  </si>
  <si>
    <t>VALOR TOTAL</t>
  </si>
  <si>
    <t>CONTRATOS SUSCRITOS EN LA VIGENCIA A AUDITAR</t>
  </si>
  <si>
    <t xml:space="preserve">OTRAS FORMAS DE EJECUCIÓN DEL GASTO DE LA VIGENCIA AUDITAR DIFERENTES A CONTRATACIÓN </t>
  </si>
  <si>
    <t xml:space="preserve">CONTRATOS SUSCRITOS EN VIGENCIAS ANTERIORES CON GESTIÓN FISCAL EN LA VIGENCIA A AUDITAR </t>
  </si>
  <si>
    <r>
      <t>MAXIMA CALIFICACION POSIBLE</t>
    </r>
    <r>
      <rPr>
        <sz val="10"/>
        <color indexed="8"/>
        <rFont val="Arial"/>
        <family val="2"/>
      </rPr>
      <t> </t>
    </r>
  </si>
  <si>
    <t>EEAAB234453</t>
  </si>
  <si>
    <t>Factura Acueducto</t>
  </si>
  <si>
    <t>NO APLICA</t>
  </si>
  <si>
    <r>
      <rPr>
        <b/>
        <sz val="11"/>
        <color theme="1" tint="0.249977111117893"/>
        <rFont val="Arial"/>
        <family val="2"/>
      </rPr>
      <t>OTRAS FORMAS DE EJECUCIÓN DEL GASTO</t>
    </r>
    <r>
      <rPr>
        <b/>
        <sz val="11"/>
        <color theme="1"/>
        <rFont val="Arial"/>
        <family val="2"/>
      </rPr>
      <t xml:space="preserve"> </t>
    </r>
    <r>
      <rPr>
        <b/>
        <u/>
        <sz val="11"/>
        <color theme="1"/>
        <rFont val="Arial"/>
        <family val="2"/>
      </rPr>
      <t xml:space="preserve">DIFERENTES A CONTRATACIÓN
</t>
    </r>
    <r>
      <rPr>
        <b/>
        <sz val="11"/>
        <color theme="0" tint="-4.9989318521683403E-2"/>
        <rFont val="Arial"/>
        <family val="2"/>
      </rPr>
      <t>(INCLUIR LOS ÍTEMS PERTINENTES AL SUJETO DE CONTROL)</t>
    </r>
  </si>
  <si>
    <t>VIGENCIA AUDITADA</t>
  </si>
  <si>
    <t>CODIGO AUDITORÍA</t>
  </si>
  <si>
    <t>Equipo Auditor:</t>
  </si>
  <si>
    <t>NOMBRE</t>
  </si>
  <si>
    <t>FIRMA</t>
  </si>
  <si>
    <t>CARGO</t>
  </si>
  <si>
    <t>SUJETOS DE CONTROL FISCAL</t>
  </si>
  <si>
    <t>REGIMEN</t>
  </si>
  <si>
    <t>INGRESOS</t>
  </si>
  <si>
    <t>Rango de Calificación</t>
  </si>
  <si>
    <t>CLASIFICACION PRESUPUESTAL</t>
  </si>
  <si>
    <t>Sujeto de Control</t>
  </si>
  <si>
    <t>TIPO DE MATRIZ
(Identificación de la matriz a aplicar)</t>
  </si>
  <si>
    <t>TIPO_ENTIDAD</t>
  </si>
  <si>
    <t>Columna1</t>
  </si>
  <si>
    <t>Columna2</t>
  </si>
  <si>
    <t>MACROPROCESO</t>
  </si>
  <si>
    <t>PUBLICA</t>
  </si>
  <si>
    <t>MIXTA&gt;50</t>
  </si>
  <si>
    <t>MIXTA&lt;50</t>
  </si>
  <si>
    <t>CORPORACION</t>
  </si>
  <si>
    <t xml:space="preserve">100000 - DIRECCIÓN SECTOR SALUD </t>
  </si>
  <si>
    <t>1 - Fondo de Desarrollo Local de Usaquén</t>
  </si>
  <si>
    <t>FDL</t>
  </si>
  <si>
    <t>12101 - GERENCIA LOCAL USAQUÉN</t>
  </si>
  <si>
    <t>SI</t>
  </si>
  <si>
    <t>&gt;=</t>
  </si>
  <si>
    <t>&lt;</t>
  </si>
  <si>
    <t>ya</t>
  </si>
  <si>
    <t>PUBLICA SIN GESTIÓN FINANCIERA</t>
  </si>
  <si>
    <t>PUBLICA con ing</t>
  </si>
  <si>
    <t>CON INGRESOS</t>
  </si>
  <si>
    <t>x</t>
  </si>
  <si>
    <t>GESTIÓN FINANCIERA</t>
  </si>
  <si>
    <t xml:space="preserve">110000 - DIRECCIÓN SECTOR GOBIERNO </t>
  </si>
  <si>
    <t>10 - Fondo de Desarrollo Local de Engativá</t>
  </si>
  <si>
    <t xml:space="preserve">12110 - GERENCIA LOCAL ENGATIVÁ </t>
  </si>
  <si>
    <t>EFICAZ</t>
  </si>
  <si>
    <t>GASTOS</t>
  </si>
  <si>
    <t>GESTIÓN PRESUPUESTAL</t>
  </si>
  <si>
    <t xml:space="preserve">12000 - DIRECCIÓN DE PARTICIPACIÓN CIUDADANA Y DESARROLLO LOCAL </t>
  </si>
  <si>
    <t>100 - Concejo de Bogotá D.C.</t>
  </si>
  <si>
    <t>No tiene</t>
  </si>
  <si>
    <t>NO</t>
  </si>
  <si>
    <t>GASTOS DE OPERACIÓN COMERCIAL</t>
  </si>
  <si>
    <t>PUBLICA SIN GESTIÓN FINANCIERA Y SIN CONTRATACION</t>
  </si>
  <si>
    <t>CONCEJO</t>
  </si>
  <si>
    <t>SIN INGRESOS</t>
  </si>
  <si>
    <t>Y RESULTADOS</t>
  </si>
  <si>
    <t xml:space="preserve">120000 - DIRECCIÓN SECTOR EQUIDAD Y GÉNERO </t>
  </si>
  <si>
    <t>102 - Personería de Bogotá</t>
  </si>
  <si>
    <t>100% publica</t>
  </si>
  <si>
    <t>INEFICAZ</t>
  </si>
  <si>
    <t>RESERVAS CONSTITUIDAS / OBLIGACIONES / CUENTAS POR PAGAR</t>
  </si>
  <si>
    <t>PUBLICA sin ing</t>
  </si>
  <si>
    <t>104 - Secretaría General de la Alcaldía Mayor de Bogotá, D.C. – SGAMB</t>
  </si>
  <si>
    <t>ABSTENCIÓN</t>
  </si>
  <si>
    <t>El Auditor no conto con información o tiene incertidumbre relevante de la información reflejada en los informes presupuestales</t>
  </si>
  <si>
    <t>PASIVOS EXIGIBLES</t>
  </si>
  <si>
    <t>PROCESO</t>
  </si>
  <si>
    <t>MIXTA&gt;50 sin Ing</t>
  </si>
  <si>
    <t>OPINIONES</t>
  </si>
  <si>
    <t>CONCEPTOS INVERSIÓN Y GASTO</t>
  </si>
  <si>
    <t xml:space="preserve">12102 - GERENCIA LOCAL CHAPINERO </t>
  </si>
  <si>
    <t>105 - Veeduría Distrital</t>
  </si>
  <si>
    <t>VIGENCIAS FUTURAS</t>
  </si>
  <si>
    <t>ESTADOS FINANCIEROS</t>
  </si>
  <si>
    <t>Limpia o Sin Salvedades</t>
  </si>
  <si>
    <t>12103 - GERENCIA LOCAL SANTAFÉ</t>
  </si>
  <si>
    <t>11 - Fondo de Desarrollo Local de Suba</t>
  </si>
  <si>
    <t xml:space="preserve">12111 - GERENCIA LOCAL SUBA </t>
  </si>
  <si>
    <t>DESEMPEÑO FINANCIERO</t>
  </si>
  <si>
    <t>Con Salvedades</t>
  </si>
  <si>
    <t xml:space="preserve">12104 - GERENCIA LOCAL SAN CRISTÓBAL </t>
  </si>
  <si>
    <t>110 - Secretaría Distrital de Gobierno – SDG</t>
  </si>
  <si>
    <t>EJECUCIÓN DE INGRESOS</t>
  </si>
  <si>
    <t>Negativa</t>
  </si>
  <si>
    <t xml:space="preserve">12105 - GERENCIA LOCAL USME </t>
  </si>
  <si>
    <t>111 - Secretaría Distrital de Hacienda – SDH</t>
  </si>
  <si>
    <t xml:space="preserve">150000 - DIRECCIÓN SECTOR HACIENDA </t>
  </si>
  <si>
    <t>PUBLICA CON GESTIÓN FINANCIERA</t>
  </si>
  <si>
    <t>EJECUCIÓN DE GASTOS o COSTOS Y GASTOS</t>
  </si>
  <si>
    <t>Abstención</t>
  </si>
  <si>
    <t xml:space="preserve">12106 - GERENCIA LOCAL TUNJUELLTO </t>
  </si>
  <si>
    <t>112 - Secretaría de Educación del Distrito – SED - Fondos de Servicios Educativos de los Colegios e Instituciones adscritas a la Secretaría de Educación del Distrito</t>
  </si>
  <si>
    <t xml:space="preserve">140000 - DIRECCIÓN SECTOR EDUCACIÓN </t>
  </si>
  <si>
    <t xml:space="preserve">12107 - GERENCIA LOCAL BOSA </t>
  </si>
  <si>
    <t>113 - Secretaría Distrital de Movilidad – SDM</t>
  </si>
  <si>
    <t xml:space="preserve">80000 - DIRECCIÓN SECTOR MOVILIDAD </t>
  </si>
  <si>
    <t xml:space="preserve">12108 - GERENCIA LOCAL KENNEDY </t>
  </si>
  <si>
    <t>114 - Secretaría Distrital de Salud – SDS</t>
  </si>
  <si>
    <t xml:space="preserve">12109 - GERENCIA LOCAL FONTIBÓN </t>
  </si>
  <si>
    <t>117 - Secretaría Distrital de Desarrollo Económico – SDDE</t>
  </si>
  <si>
    <t xml:space="preserve">190000 - DIRECCIÓN SECTOR DESARROLLO ECONÓMICO, INDUSTRIA Y TURISMO </t>
  </si>
  <si>
    <t>118 - Secretaría Distrital del Hábitat - SDHT</t>
  </si>
  <si>
    <t xml:space="preserve">130000 - DIRECCIÓN SECTOR HÁBITAT Y AMBIENTE </t>
  </si>
  <si>
    <t>119 - Secretaría Distrital de Cultura, Recreación y Deporte – SDCRD</t>
  </si>
  <si>
    <t xml:space="preserve">220000 - DIRECCIÓN SECTOR CULTURA, RECREACIÓN Y DEPORTE </t>
  </si>
  <si>
    <t xml:space="preserve">12112 - GERENCIA LOCAL BARRIOS UNIDOS </t>
  </si>
  <si>
    <t>12 - Fondo de Desarrollo Local de Barrios Unidos</t>
  </si>
  <si>
    <t xml:space="preserve">12113 - GERENCIA LOCAL TEUSAQUILLO </t>
  </si>
  <si>
    <t>120 - Secretaría Distrital de Planeación – SDP</t>
  </si>
  <si>
    <t xml:space="preserve">12114 - GERENCIA LOCAL MÁRTIRES </t>
  </si>
  <si>
    <t>121 - Secretaría Distrital de la Mujer – SDM</t>
  </si>
  <si>
    <t>12115 - GERENCIA LOCAL ANTONIO NARIÑO</t>
  </si>
  <si>
    <t>122 - Secretaría Distrital de Integración Social – SDIS</t>
  </si>
  <si>
    <t xml:space="preserve">200000 - DIRECCIÓN SECTOR INTEGRACIÓN SOCIAL </t>
  </si>
  <si>
    <t xml:space="preserve">12116 - GERENCIA LOCAL PUENTE ARANDA </t>
  </si>
  <si>
    <t>125 - Departamento Administrativo del Servicio Civil Distrital – DASCD</t>
  </si>
  <si>
    <t xml:space="preserve">12117 - GERENCIA LOCAL LA CANDELARIA </t>
  </si>
  <si>
    <t>126 - Secretaría Distrital de Ambiente – SDA</t>
  </si>
  <si>
    <t>12118 - GERENCIA LOCAL RAFAEL URIBE URIBE</t>
  </si>
  <si>
    <t>127 - Departamento Administrativo de la Defensoría del Espacio Público – DADEP</t>
  </si>
  <si>
    <t xml:space="preserve">12119 - GERENCIA LOCAL CIUDAD BOLIVAR </t>
  </si>
  <si>
    <t>13 - Fondo de Desarrollo Local de Teusaquillo</t>
  </si>
  <si>
    <t xml:space="preserve">12120 - GERENCIA LOCAL SUMAPAZ </t>
  </si>
  <si>
    <t>131 - Unidad Administrativa Especial del Cuerpo Oficial de Bomberos de Bogotá – UAECOB</t>
  </si>
  <si>
    <t>Unidad Administrativa Especial</t>
  </si>
  <si>
    <t>230000 - DIRECCIÓN SECTOR SEGURIDAD, CONVIVENCIA Y JUSTICIA</t>
  </si>
  <si>
    <t>136 - Secretaría Jurídica Distrital – SJD</t>
  </si>
  <si>
    <t xml:space="preserve">90000 - DIRECCIÓN SECTOR GESTIÓN JURIDICA </t>
  </si>
  <si>
    <t>137 - Secretaría Distrital de Seguridad, Convivencia y Justicia – SDSCJ</t>
  </si>
  <si>
    <t>14 - Fondo de Desarrollo Local de Los Mártires</t>
  </si>
  <si>
    <t>PLANES, PROGRAMAS Y PROYECTOS</t>
  </si>
  <si>
    <t>15 - Fondo de Desarrollo Local de Antonio Nariño</t>
  </si>
  <si>
    <t>PLAN ESTRATEGICO INSTITUCIONAL</t>
  </si>
  <si>
    <t>16 - Fondo de Desarrollo Local de Puente Aranda</t>
  </si>
  <si>
    <t>PLAN ESTRATEGICO CORPORATIVO o el que haga sus veces</t>
  </si>
  <si>
    <t>17 - Fondo de Desarrollo Local de La Candelaria</t>
  </si>
  <si>
    <t>18 - Fondo de Desarrollo Local de Rafael Uribe Uribe</t>
  </si>
  <si>
    <t>19 - Fondo de Desarrollo Local de Ciudad Bolívar</t>
  </si>
  <si>
    <t>2 - Fondo de Desarrollo Local de Chapinero</t>
  </si>
  <si>
    <t>20 - Fondo de Desarrollo Local de Sumapaz</t>
  </si>
  <si>
    <t>200 - Instituto para la Economía Social – IPES</t>
  </si>
  <si>
    <t>Establecimiento publico</t>
  </si>
  <si>
    <t>201 - Fondo Financiero Distrital de Salud – FFDS</t>
  </si>
  <si>
    <t>Fondo</t>
  </si>
  <si>
    <t>202 - Curaduría Urbana N° 1 de Bogotá</t>
  </si>
  <si>
    <t>Mixta</t>
  </si>
  <si>
    <t>203 - Instituto Distrital de Gestión de Riesgos y Cambio Climático – IDIGER</t>
  </si>
  <si>
    <t>204 - Instituto de Desarrollo Urbano – IDU</t>
  </si>
  <si>
    <t xml:space="preserve">206 - Fondo de Prestaciones Económicas, Cesantías y Pensiones – FONCEP </t>
  </si>
  <si>
    <t>205 - Curaduría Urbana N° 2 de Bogotá</t>
  </si>
  <si>
    <t>Menor 50%</t>
  </si>
  <si>
    <t>208 - Caja de Vivienda Popular – CVP</t>
  </si>
  <si>
    <t>211 - Instituto Distrital de Recreación y Deporte – IDRD</t>
  </si>
  <si>
    <t>207 - Curaduría Urbana N° 4 de Bogotá</t>
  </si>
  <si>
    <t>213 - Instituto Distrital de Patrimonio Cultural – IDPC</t>
  </si>
  <si>
    <t>214 - Instituto Distrital para la Protección de la Niñez y la Juventud – IDIPRON</t>
  </si>
  <si>
    <t>209 - Curaduría Urbana N° 3 de Bogotá</t>
  </si>
  <si>
    <t>215 - Fundación Gilberto Álzate Avendaño – FUGA</t>
  </si>
  <si>
    <t>210 - Curaduría Urbana N° 5 de Bogotá</t>
  </si>
  <si>
    <t>216 - Orquesta Filarmónica de Bogotá – OFB</t>
  </si>
  <si>
    <t>218 - Jardín Botánico José Celestino Mutis – JBJCM</t>
  </si>
  <si>
    <t xml:space="preserve">219 - Instituto para la Investigación Educativa y el Desarrollo Pedagógico – IDEP </t>
  </si>
  <si>
    <t>220 - Instituto Distrital de la Participación y Acción Comunal – IDPAC</t>
  </si>
  <si>
    <t>221 - Instituto Distrital de Turismo – IDT</t>
  </si>
  <si>
    <t>222 - Instituto Distrital de las Artes – IDARTES</t>
  </si>
  <si>
    <t xml:space="preserve">  </t>
  </si>
  <si>
    <t>229 - Instituto Distrital de Protección y Bienestar Animal – IDPYBA</t>
  </si>
  <si>
    <t>230 - Universidad Distrital Francisco José de Caldas</t>
  </si>
  <si>
    <t>240 - Lotería de Bogotá</t>
  </si>
  <si>
    <t>PUBLICA CON GESTIÓN FINANCIERA Y CONTRATACIÓN MIXTA</t>
  </si>
  <si>
    <t>260 - Canal Capital</t>
  </si>
  <si>
    <t>Ente Autonomo</t>
  </si>
  <si>
    <t>264 - Aguas de Bogotá S.A. E.S.P.</t>
  </si>
  <si>
    <t>Empresa Industrial y Comercial</t>
  </si>
  <si>
    <t>268 - Operadora Distrital de Transporte S.A.S.</t>
  </si>
  <si>
    <t>MIXTA</t>
  </si>
  <si>
    <t>MIXTA&gt;50 sin ing</t>
  </si>
  <si>
    <t>3 - Fondo de Desarrollo Local de Santa Fe</t>
  </si>
  <si>
    <t>Publica con contratacion mixta</t>
  </si>
  <si>
    <t>4 - Fondo de Desarrollo Local de San Cristóbal</t>
  </si>
  <si>
    <t>Entidad Descentralizada</t>
  </si>
  <si>
    <t>PUBLICA CON PLAN ESTRATEGICO Y CONTRATACIÓN MIXTA</t>
  </si>
  <si>
    <t>Subred</t>
  </si>
  <si>
    <t>429 - Instituto Distrital de Ciencia, Biotecnología e Innovación en Salud – IDCBIS</t>
  </si>
  <si>
    <t>PUBLICA CON GESTIÓN FINANCIERA CON PLAN ESTRATEGICO</t>
  </si>
  <si>
    <t>430 - Entidad de Gestión Administrativa y Técnica – EGAT</t>
  </si>
  <si>
    <t>PUBLICA SIN GESTIÓN FINANCIERA Y CONTRATACIÓN MIXTA</t>
  </si>
  <si>
    <t>5 - Fondo de Desarrollo Local de Usme</t>
  </si>
  <si>
    <t>500 - Fondo Distrital para la Gestión de Riesgos y Cambio Climático de Bogotá D.C. –FONDIGER</t>
  </si>
  <si>
    <t>515 - Corporación Maloka de Ciencia, Tecnología e Innovación – MALOKA</t>
  </si>
  <si>
    <t>6 - Fondo de Desarrollo Local de Tunjuelito</t>
  </si>
  <si>
    <t>7 - Fondo de Desarrollo Local de Bosa</t>
  </si>
  <si>
    <t>8 - Fondo de Desarrollo Local de Kennedy</t>
  </si>
  <si>
    <t>9 - Fondo de Desarrollo Local de Fontibón</t>
  </si>
  <si>
    <t>MUESTRA</t>
  </si>
  <si>
    <t>ESTADOS FINANCIEROS - ESTADO DE SITUACIÓN FINANCIERA</t>
  </si>
  <si>
    <t>En Pesos $</t>
  </si>
  <si>
    <t>CRITERIOS DE SELECCIÓN DE LA MUESTRA</t>
  </si>
  <si>
    <t>CODIGO</t>
  </si>
  <si>
    <t>DESCRIPCIÓN CUENTA:
Clase/ Grupo/ Cuenta/ Subcuenta</t>
  </si>
  <si>
    <t>Variación absoluta</t>
  </si>
  <si>
    <t>Variación %</t>
  </si>
  <si>
    <t>Explicación de variaciones (Ver Notas a los Estados Financieros - Revelaciones)</t>
  </si>
  <si>
    <t>Participación % En función al activo</t>
  </si>
  <si>
    <t>Explicación de participaciones - Para las de Mayor %</t>
  </si>
  <si>
    <t>CUENTAS QUE PRESENTARON MAYOR VARIACIÓN (TRAER %)</t>
  </si>
  <si>
    <t>CUENTAS DE MAYOR PARTICIPACIÓN (TRAER %)</t>
  </si>
  <si>
    <t>CUENTAS QUE PRESENTARON HALLAZGOS POR INCORRECCIONES O IMPOSIBILIDADES EN EL INFORME ANTERIOR (MARCAR CON X)</t>
  </si>
  <si>
    <t>CUENTAS QUE POR PLAN DE MEJORAMIENTO SE DEBE EVALUAR EFECTIVIDAD</t>
  </si>
  <si>
    <t>CUENTAS SUCEPTIBLES DE SER INCLUIDAS EN LA MUESTRA (MARCAR CON X)</t>
  </si>
  <si>
    <t>CUENTAS QUE SEGÚN EL FORMATO: PVCGF-04-13 INSTRUMENTO DE RIESGOS Y CONTROLES PRESENTARON EL MAYOR RIESGO RESIDUAL (REGISTRAR: CRITICO, ALTO, MEDIO O BAJO)</t>
  </si>
  <si>
    <t>CUENTAS SOLICITADAS A AUDITAR POR ESTUDIOS DE ECONOMIA Y POLITICA PUBLICA</t>
  </si>
  <si>
    <t xml:space="preserve">MUESTRA DE AUDITORIA </t>
  </si>
  <si>
    <t>OBSERVACIONES DEL AUDITOR - JUSTIFICACIÓN DE LA SELECCIÓN</t>
  </si>
  <si>
    <t>ggg</t>
  </si>
  <si>
    <t xml:space="preserve">Conclusiones generales </t>
  </si>
  <si>
    <t>Auditores:</t>
  </si>
  <si>
    <t>Gerente - Líder:</t>
  </si>
  <si>
    <r>
      <rPr>
        <b/>
        <sz val="11"/>
        <color theme="1"/>
        <rFont val="Arial"/>
        <family val="2"/>
      </rPr>
      <t xml:space="preserve">Nota 1: </t>
    </r>
    <r>
      <rPr>
        <sz val="11"/>
        <color theme="1"/>
        <rFont val="Arial"/>
        <family val="2"/>
      </rPr>
      <t>Con el diligenciamiento de este papel de Trabajo se pretende establecer el universo de los saldos de las cuentas del Estado de Situación Financiera del Sujeto de Control con corte a diciembre 31 de la vigencia a auditar y de esta esta forma establecer su participación % y principales variaciones con respecto a diciembre 31 del año anterior.</t>
    </r>
  </si>
  <si>
    <r>
      <rPr>
        <b/>
        <sz val="11"/>
        <color theme="1"/>
        <rFont val="Arial"/>
        <family val="2"/>
      </rPr>
      <t>Nota 2:</t>
    </r>
    <r>
      <rPr>
        <sz val="11"/>
        <color theme="1"/>
        <rFont val="Arial"/>
        <family val="2"/>
      </rPr>
      <t xml:space="preserve"> A partir de lo anterior, con fines de direccionar la Muestra a Seleccionar, se dará aplicación a los criterios establecidos para seleccionar la muestra.</t>
    </r>
  </si>
  <si>
    <t>Activo</t>
  </si>
  <si>
    <t>ESTADOS FINANCIEROS - ESTADO DE RESULTADOS</t>
  </si>
  <si>
    <t>Explicación de principales variaciones (Ver Notas a los Estados Financieros - Revelaciones)</t>
  </si>
  <si>
    <t>CUENTAS CORRELATIVAS A LAS CUENTAS DE BALANCE SELECCIONADAS EN LA MUESTRA</t>
  </si>
  <si>
    <t>Ingresos</t>
  </si>
  <si>
    <t>Código de Auditoría:</t>
  </si>
  <si>
    <t>ASPECTOS A TENER EN CUENTA PARA DEFINIR LA MATERIALIDAD CUANTITATIVA PARA ESTADOS FINANCIEROS EN SU CONJUNTO.</t>
  </si>
  <si>
    <r>
      <rPr>
        <b/>
        <sz val="12"/>
        <color theme="1"/>
        <rFont val="Arial"/>
        <family val="2"/>
      </rPr>
      <t xml:space="preserve">MATERIALIDAD CUANTITATIVA PARA LAS INCORRECCIONES E IMPOSIBILIDADES </t>
    </r>
    <r>
      <rPr>
        <sz val="12"/>
        <color theme="1"/>
        <rFont val="Arial"/>
        <family val="2"/>
      </rPr>
      <t xml:space="preserve">
Este instrumento está compuesto por las siguientes secciones:
1. Criterios para clasificación de riesgo del proceso de estados financieros.
2. Aplicación de criterios para la clasificación de riesgo del sujeto de vigilancia y control fiscal.
3. Base y Porcentaje referente Para Establecer La Materialidad.
4. materialidad determinada para el sujeto de vigilancia y control fiscal.
5. estructura de niveles, rangos para determinar la materialidad de los sujetos de vigilancia y control fiscal.
6. materialidad determinada para el sujeto de control y parametrización del momento en que surgen las opiniones modificadas.</t>
    </r>
  </si>
  <si>
    <r>
      <t xml:space="preserve">MATERIALIDAD </t>
    </r>
    <r>
      <rPr>
        <b/>
        <sz val="12"/>
        <color indexed="8"/>
        <rFont val="Arial"/>
        <family val="2"/>
      </rPr>
      <t>CUANTITATIVA - PARA INCORRECCIONES E IMPOSIBILIDADES O SU SUMATORIA</t>
    </r>
  </si>
  <si>
    <t>1. CRITERIOS PARA CLASIFICACIÓN DE RIESGO DEL PROCESO DE ESTADOS FINANCIEROS (Sección Informativa no requiere ningún diligenciamiento):</t>
  </si>
  <si>
    <t>Opinión auditoría Estados Financieros</t>
  </si>
  <si>
    <t>Calificación Control Interno Contable - Proceso Estados Financieros</t>
  </si>
  <si>
    <t>Fenecimiento de la cuenta</t>
  </si>
  <si>
    <t>Riesgo Residual o Combinado - Proceso Estados Financieros</t>
  </si>
  <si>
    <t>Sin salvedades</t>
  </si>
  <si>
    <t>Fenecida</t>
  </si>
  <si>
    <t>Con salvedades</t>
  </si>
  <si>
    <t>No fenecida</t>
  </si>
  <si>
    <t>Critico</t>
  </si>
  <si>
    <t>Dado que la materialidad se encuentra directamente relacionada con el nivel de riesgo del sujeto de control, en esta sección se presentan los criterios utilizados para establecer el nivel de riesgo de auditoría del proceso de Estados Financieros del Sujeto de Vigilancia y Control Fiscal, de los cuales 3 corresponden a la auditoría de Regularidad o Financiera y de Gestión anterior (Opinión sobre los Estados Financieros, la Calificación de Control Interno Contable y el Fenecimiento de la Cuenta) y uno a la presente auditoría que corresponde al Riesgo Residual o Combinado – Proceso Estados Financieros.</t>
  </si>
  <si>
    <t>2. APLICACIÓN DE CRITERIOS PARA LA CLASIFICACIÓN DE RIESGO DEL SUJETO DE VIGILANCIA Y CONTROL FISCAL</t>
  </si>
  <si>
    <t>Opinión auditoría anterior</t>
  </si>
  <si>
    <t>Fenecimiento de la cuenta
auditoría anterior</t>
  </si>
  <si>
    <t>De conformidad con la escala de valoración de los riesgos establecidos en el numeral 1 de este instructivo, el auditor deberá proceder a incorporar las calificaciones correspondientes utilizando las listas desplegables diseñadas para el efecto.
Los puntos se van acumulando en la medida en que el auditor selecciona cada una de las opciones y su sumatoria determina un nivel de riesgo</t>
  </si>
  <si>
    <t>3. BASE Y PORCENTAJE REFERENTE PARA ESTABLECER LA MATERIALIDAD (Sección Informativa no requiere ningún diligenciamiento):</t>
  </si>
  <si>
    <t>Bases</t>
  </si>
  <si>
    <t>Rango de Porcentajes</t>
  </si>
  <si>
    <t>Criterios para establecer el porcentaje de Materialidad</t>
  </si>
  <si>
    <t>Activos</t>
  </si>
  <si>
    <t>1 -3%</t>
  </si>
  <si>
    <t>De conformidad con el rango general establecido por   Guía para el uso de las Normas Internacionales de Pequeñas y Medianas Empresas - Guía Practica (Tercera edición) expedida por la Federación Internacional de Contadores - IFAC que va del 1% al 3%, se estableció la materialidad % por nivel.</t>
  </si>
  <si>
    <t>Pasivos (+) Patrimonio</t>
  </si>
  <si>
    <t>Para la Contraloría de Bogotá se determinó que la base a utilizar para determinar la materialidad serán los activos y el rango de porcentajes a aplicar se adoptó de la Guía para el uso de las Normas Internacionales de Pequeñas y Medianas Empresas - Guía Práctica expedida por la IFAC.</t>
  </si>
  <si>
    <t>4. ESTRUCTURA DE NIVELES, RANGOS PARA DETERMINAR LA MATERIALIDAD DE LOS SUJETOS DE VIGILANCIA Y CONTROL FISCAL (Sección Informativa no requiere ningún diligenciamiento):</t>
  </si>
  <si>
    <t>Sumatoria puntaje de variables y agrupaciones de los sujetos por NIVEL</t>
  </si>
  <si>
    <t>Calificación de criterios de gestión</t>
  </si>
  <si>
    <t>Rango establecido para determinar Materialidad</t>
  </si>
  <si>
    <t>% Materialidad establecido según nivel de riesgo del sujeto de control</t>
  </si>
  <si>
    <t>Aspectos considerados para determinar el % de Materialidad</t>
  </si>
  <si>
    <t>MEJOR CALIFICACIÓN</t>
  </si>
  <si>
    <t>Entre &gt;2,3% y &lt;=3%</t>
  </si>
  <si>
    <t>A menor puntaje de la calificación de las variables de auditoría (Mejores resultados), mayor tolerancia o porcentaje de materialidad cuantitativa.</t>
  </si>
  <si>
    <t>NIVEL 2
Entre 8 y 11 Puntos</t>
  </si>
  <si>
    <t>CALIFICACIÓN INTERMEDIA</t>
  </si>
  <si>
    <t>Entre &gt;1,7% y &lt;=2,3%</t>
  </si>
  <si>
    <t>En virtud a la rigurosidad de los rangos determinados, se consideró el límite superior por ser el más objetivo para el sujeto de vigilancia y control fiscal.</t>
  </si>
  <si>
    <t>NIVEL 3
Entre 12 y 16 Puntos</t>
  </si>
  <si>
    <t>PEOR CALIFICACION</t>
  </si>
  <si>
    <t>Entre &gt;=1,0% y &lt;=1,7%</t>
  </si>
  <si>
    <t>A partir del numeral 3 de este instructivo, se crearon tres niveles de riesgo según la sumatoria mínima y máxima de los criterios aplicados en el numeral 2 de este instructivo, para los cuales se fijaron rangos porcentuales proporcionales y a partir de estos se tomó el límite superior de cada uno de ellos, porcentaje que se aplicara al valor total de los activos.
Entre más alta es la sumatoria de puntos, menor será el rango porcentual y por lo tanto la materialidad. Si, por ejemplo, el sujeto auditado dispone de un control interno efectivo, y baja probabilidad de que los riesgos puedan materializarse, el nivel será uno (1) y la materialidad podrá ser mayor; por el contrario, si el control interno no es efectivo y el auditor interpreta que los riesgos puedan materializarse, se aplica un porcentaje menor.</t>
  </si>
  <si>
    <t>5. MATERIALIDAD DETERMINADA PARA EL SUJETO DE VIGILANCIA Y CONTROL FISCAL</t>
  </si>
  <si>
    <t>Suma de puntos</t>
  </si>
  <si>
    <t>Base seleccionada</t>
  </si>
  <si>
    <t>Monto Total</t>
  </si>
  <si>
    <t>% Materialidad establecido según nivel de Riesgo del Sujeto de Control</t>
  </si>
  <si>
    <t>Valor Materialidad en Pesos</t>
  </si>
  <si>
    <t>Esta sección se alimenta automáticamente al diligenciar lo establecido en el numeral 2 de este instructivo. El auditor solamente debe registrar el valor total de los activos y automáticamente le generara el valor de la materialidad en pesos.</t>
  </si>
  <si>
    <t>6. PARAMETRIZACIÓN DE LAS INCORRECCIONES + LAS IMPOSIBILIDADES QUE DARÍAN LUGAR A OPINIONES MODIFICADAS (Sección que se procesa de manera automática, no requiere diligenciamiento):</t>
  </si>
  <si>
    <t xml:space="preserve">SUMA DE LOS %(S) Y DE LOS VALORES DE LAS INCORRECCIONES MAS LAS IMPOSIBILIDADES QUE GENERAN OPINIÓN MODIFICADA SEGÚN EL NIVEL </t>
  </si>
  <si>
    <t>MATERIALIDAD DETERMINADA PARA EL SUJETO DE CONTROL</t>
  </si>
  <si>
    <t>SIN SALVEDADES</t>
  </si>
  <si>
    <t>MATERIALES NO GENERALIZADAS = CON SALVEDADES</t>
  </si>
  <si>
    <t>MATERIALES GENERALIZADAS = NEGATIVA/ ABSTENCIÓN</t>
  </si>
  <si>
    <t>Base Seleccionada</t>
  </si>
  <si>
    <t>Monto</t>
  </si>
  <si>
    <t>MENOR QUE 1 VEZ</t>
  </si>
  <si>
    <t>MAYOR O IGUAL QUE 1 Y MENOR QUE 5 VECES</t>
  </si>
  <si>
    <t>IGUAL O MAYOR  QUE 5 VECES</t>
  </si>
  <si>
    <t>En %</t>
  </si>
  <si>
    <t>Menor que</t>
  </si>
  <si>
    <t>Entre</t>
  </si>
  <si>
    <t>y menor que</t>
  </si>
  <si>
    <t>En Pesos</t>
  </si>
  <si>
    <t xml:space="preserve">CONCLUSION: </t>
  </si>
  <si>
    <t xml:space="preserve">Fecha Inicio: </t>
  </si>
  <si>
    <t>Fecha Terminación:</t>
  </si>
  <si>
    <t>Elaborado por:</t>
  </si>
  <si>
    <t xml:space="preserve">Firma:  </t>
  </si>
  <si>
    <t xml:space="preserve">Revisado por: </t>
  </si>
  <si>
    <t xml:space="preserve">Firma: </t>
  </si>
  <si>
    <t xml:space="preserve">Fecha de Revisión: </t>
  </si>
  <si>
    <t>CÁLCULO  MATERIALIDAD DE PLANEACIÓN - MP PRESUPUESTAL</t>
  </si>
  <si>
    <t>Entidad auditada:</t>
  </si>
  <si>
    <t>Periodo auditado:</t>
  </si>
  <si>
    <t xml:space="preserve"> De 1.0 a 1.5</t>
  </si>
  <si>
    <t>Fecha de realización</t>
  </si>
  <si>
    <t>De &gt; 1.5 a &lt; 2.0</t>
  </si>
  <si>
    <t xml:space="preserve">Con deficiencias </t>
  </si>
  <si>
    <t>Referenciación:</t>
  </si>
  <si>
    <t xml:space="preserve"> De 2.0 a 3.0</t>
  </si>
  <si>
    <r>
      <t xml:space="preserve">MATERIALIDAD </t>
    </r>
    <r>
      <rPr>
        <b/>
        <sz val="12"/>
        <color indexed="8"/>
        <rFont val="Calibri"/>
        <family val="2"/>
        <scheme val="minor"/>
      </rPr>
      <t>PARA CONCEPTO GESTION PRESUPUESTAL</t>
    </r>
  </si>
  <si>
    <t>I. Seleccione primero las opciones de ayudas de antecedentes. Ingrese manualmente el valor de la base escogida a 31 de diciembre de la vigencia auditada e ingrese manualmente el porcentaje, tenga en cuenta que debe estar dentro del rango.</t>
  </si>
  <si>
    <t>Concepto auditoría anterior</t>
  </si>
  <si>
    <t>Calificación Control Interno
auditoría anterior</t>
  </si>
  <si>
    <t>Diseño del control de la auditoría actual</t>
  </si>
  <si>
    <t>Riesgo combinado de la
 auditoría actual</t>
  </si>
  <si>
    <t>SUMA DE PUNTOS</t>
  </si>
  <si>
    <t>% DE MATERIALIDAD - LA BASE SOBRE EL VR DE LOS INGRESOS Y GASTOS PRESUPUESTALES EJECUTADOS</t>
  </si>
  <si>
    <t>% DE MATERIALIDAD SELECCIONADO EN EL RANGO</t>
  </si>
  <si>
    <r>
      <t xml:space="preserve">Nivel 1 </t>
    </r>
    <r>
      <rPr>
        <b/>
        <sz val="10"/>
        <color theme="1"/>
        <rFont val="Calibri"/>
        <family val="2"/>
        <scheme val="minor"/>
      </rPr>
      <t xml:space="preserve"> (0 - 5 Puntos)</t>
    </r>
  </si>
  <si>
    <t>Mejor calificación</t>
  </si>
  <si>
    <t>Entre &gt;2,08% y &lt;=3,0%</t>
  </si>
  <si>
    <r>
      <t>Nivel 2</t>
    </r>
    <r>
      <rPr>
        <b/>
        <sz val="10"/>
        <color theme="1"/>
        <rFont val="Calibri"/>
        <family val="2"/>
        <scheme val="minor"/>
      </rPr>
      <t xml:space="preserve"> (6 - 10 Puntos)</t>
    </r>
  </si>
  <si>
    <t>Calificación intermedia</t>
  </si>
  <si>
    <t>Entre &gt;1,17% y &lt;=2,08%</t>
  </si>
  <si>
    <r>
      <t>Nivel 3</t>
    </r>
    <r>
      <rPr>
        <b/>
        <sz val="10"/>
        <color theme="1"/>
        <rFont val="Calibri"/>
        <family val="2"/>
        <scheme val="minor"/>
      </rPr>
      <t xml:space="preserve"> (11 - 15 Puntos)</t>
    </r>
  </si>
  <si>
    <t>Baja calificación</t>
  </si>
  <si>
    <t>Entre &gt;=0,25% y &lt;=1,17%</t>
  </si>
  <si>
    <t>MATERIALIDAD CUANTITATIVA EJECUCION INGRESOS Y GASTOS</t>
  </si>
  <si>
    <t>Ejecución presupuestal de ingresos</t>
  </si>
  <si>
    <t>% Materialidad para ejecución de ingresos</t>
  </si>
  <si>
    <t xml:space="preserve">Valor Materialidad </t>
  </si>
  <si>
    <t>Ejecución presupuestal de gastos</t>
  </si>
  <si>
    <t>% Materialidad para ejecución de gastos</t>
  </si>
  <si>
    <t xml:space="preserve">Ejecución presupuestal Otros Rubros </t>
  </si>
  <si>
    <t>Cuenta</t>
  </si>
  <si>
    <t>Subcuenta</t>
  </si>
  <si>
    <t>Valor Rubro $</t>
  </si>
  <si>
    <t>Valor Materialidad $</t>
  </si>
  <si>
    <t>GASTOS DE COMERCIALIZACIÓN Y PRODUCCIÓN</t>
  </si>
  <si>
    <t>Materiales y Suministros</t>
  </si>
  <si>
    <t>Adquisición de Servicios</t>
  </si>
  <si>
    <t>RESERVAS PRESUPUESTALES CONSTITUIDAS</t>
  </si>
  <si>
    <t>CUENTAS POR PAGAR</t>
  </si>
  <si>
    <t>OBLIGACIONES POR PAGAR</t>
  </si>
  <si>
    <r>
      <rPr>
        <b/>
        <u/>
        <sz val="11"/>
        <color theme="1"/>
        <rFont val="Calibri"/>
        <family val="2"/>
        <scheme val="minor"/>
      </rPr>
      <t>Justificación para seleccionar el porcentaje.  Entre 0,25% y 1,17%.</t>
    </r>
    <r>
      <rPr>
        <sz val="11"/>
        <color theme="1"/>
        <rFont val="Calibri"/>
        <family val="2"/>
        <scheme val="minor"/>
      </rPr>
      <t xml:space="preserve"> </t>
    </r>
    <r>
      <rPr>
        <sz val="11"/>
        <color indexed="8"/>
        <rFont val="Calibri"/>
        <family val="2"/>
        <scheme val="minor"/>
      </rPr>
      <t xml:space="preserve">Se escogio el porcentaje, 0.7%  % teniendo en cuenta la ejecución del presupuesto de inversión de la entidad. Se estimo un riesgo combinado medio y un diseño de controles parcialmente adecuado.
</t>
    </r>
    <r>
      <rPr>
        <u/>
        <sz val="11"/>
        <color indexed="8"/>
        <rFont val="Calibri"/>
        <family val="2"/>
        <scheme val="minor"/>
      </rPr>
      <t xml:space="preserve">
</t>
    </r>
  </si>
  <si>
    <t>MATERIALIDAD DE PLANEACIÓN CUALITATIVA</t>
  </si>
  <si>
    <t>Se considerarán criterios cualitativos los relacionados con clasificación, revelación, presentación o circunstancias. Debe delimitarse muy bien el nivel de la MP, teniendo en cuenta que es posible que la situacion no se pueda valorar. Debe definirse claramente la condición de la operación, transacción, rubro o circunstancia, que lo convierten en material.</t>
  </si>
  <si>
    <t>BASE SELECCIONADA</t>
  </si>
  <si>
    <t>%</t>
  </si>
  <si>
    <t>Criterio cualitativo</t>
  </si>
  <si>
    <t>Condición de la operación, transacción, saldo o circunstancia para que sea material</t>
  </si>
  <si>
    <t>MP</t>
  </si>
  <si>
    <t xml:space="preserve">Nivel aceptado de MP Cualitativa </t>
  </si>
  <si>
    <t>Circunstancia</t>
  </si>
  <si>
    <t>Por debajo de lo estimado</t>
  </si>
  <si>
    <t>MATERIALIDAD DE EJECUCIÓN - ME -</t>
  </si>
  <si>
    <t>Generalmente se toma entre un 60% a 80% de la MP cuantitativa, en la primera fila elija un porcentaje entre este rango para las cuentas a nivel general. Sin embargo, es posible que existan saldos, transacciones u operaciones especificos en los que deban definirse niveles más bajos de ME, documentelos en las filas siguientes (inserte las necesarias).</t>
  </si>
  <si>
    <t>Cuentas a nivel general</t>
  </si>
  <si>
    <t>Concepto rubro</t>
  </si>
  <si>
    <t>Valor MP</t>
  </si>
  <si>
    <t>ME</t>
  </si>
  <si>
    <t>Saldos, transacciones u operaciones especificas presupuestales</t>
  </si>
  <si>
    <t>Valor</t>
  </si>
  <si>
    <t>Gastos de operación</t>
  </si>
  <si>
    <t>NIVEL DE INCORRECCIONES CLARAMENTE INSIGNIFICANTES</t>
  </si>
  <si>
    <t>Se puede determinar un valor por debajo del cual las incorrecciones se consideren claramente insignificantes y, por lo tanto no es necesario acumularlas porque se espera que su acumulación no tendrá un efecto material sobre los estados financieros. Pueden ser de tipo cuantitativo o de tipo cualitativo.  Si es de tipo cuantitativo puede tomar entre el rango del 2% al 8%  de la MP cuantitativa.</t>
  </si>
  <si>
    <t>Valor tipo cuantitativo</t>
  </si>
  <si>
    <t xml:space="preserve">MP Incorrecciones insignificantes </t>
  </si>
  <si>
    <t>Descripción tipo cualitativo</t>
  </si>
  <si>
    <t>SSS</t>
  </si>
  <si>
    <t>Diseño y formulación: Esmeralda Martín y Joaquin Leal</t>
  </si>
  <si>
    <t>Rol:</t>
  </si>
  <si>
    <t>Firma</t>
  </si>
  <si>
    <t>Calificación CI vigencia anterior</t>
  </si>
  <si>
    <t>Riesgo combinado</t>
  </si>
  <si>
    <t>Diseño del control</t>
  </si>
  <si>
    <t>CRITERIOS</t>
  </si>
  <si>
    <t>EXISTENCIA DE HALLAZGOS VIGENCIAS ANTERIORES</t>
  </si>
  <si>
    <t>Opinión presupuestal</t>
  </si>
  <si>
    <t>RIESGO COMBINADO VIGENCIA AUDITADA</t>
  </si>
  <si>
    <t>DISEÑO DEL CONTROL VIGENCIA AUDITADA</t>
  </si>
  <si>
    <t xml:space="preserve">bases presupuesto </t>
  </si>
  <si>
    <t xml:space="preserve">BASES FINANCIERA </t>
  </si>
  <si>
    <t>Negativa o abstención</t>
  </si>
  <si>
    <t>Alto-Crítico</t>
  </si>
  <si>
    <t>Superavit o deficit</t>
  </si>
  <si>
    <t>Fiscales o penales</t>
  </si>
  <si>
    <t>No razonable o abstención</t>
  </si>
  <si>
    <t>Inadecuado o inexistente</t>
  </si>
  <si>
    <t>Programación de ingresos</t>
  </si>
  <si>
    <t>Incorrección en cuentas del Activo</t>
  </si>
  <si>
    <t>Parcialmente adecuado</t>
  </si>
  <si>
    <t>Ingresos o gastos</t>
  </si>
  <si>
    <t>Disciplinarios</t>
  </si>
  <si>
    <t>Ejecución de ingresos</t>
  </si>
  <si>
    <t>Incorreccion en la cuenta del Patrimonio</t>
  </si>
  <si>
    <t>Utilidad bruta</t>
  </si>
  <si>
    <t>Administrativos</t>
  </si>
  <si>
    <t>Razonable</t>
  </si>
  <si>
    <t>Adecuado</t>
  </si>
  <si>
    <t>Programación de gastos</t>
  </si>
  <si>
    <t xml:space="preserve">Incorreccion en la cuenta del Pasivo </t>
  </si>
  <si>
    <t>Patrimonio o pasivos</t>
  </si>
  <si>
    <t>Ejecución de gastos</t>
  </si>
  <si>
    <t xml:space="preserve">INGRESOS </t>
  </si>
  <si>
    <t>UTILIDAD O PÉRDIDA</t>
  </si>
  <si>
    <t>Utilidad antes de impuestos</t>
  </si>
  <si>
    <t>UTILIDAD BRUTA</t>
  </si>
  <si>
    <t>Fecha realización:</t>
  </si>
  <si>
    <t>Fecha revisión:</t>
  </si>
  <si>
    <t>PROCESO:</t>
  </si>
  <si>
    <t xml:space="preserve">Seleccione aquí:      </t>
  </si>
  <si>
    <t>Claudia López</t>
  </si>
  <si>
    <t>Programa 1</t>
  </si>
  <si>
    <t>Proyecto No. 1</t>
  </si>
  <si>
    <t>Meta 1</t>
  </si>
  <si>
    <t>Carlos Galán</t>
  </si>
  <si>
    <t>Meta 2</t>
  </si>
  <si>
    <t>Eje 1</t>
  </si>
  <si>
    <t>Meta 3</t>
  </si>
  <si>
    <t>Proyecto No. 5</t>
  </si>
  <si>
    <t>Programa 2</t>
  </si>
  <si>
    <t>Meta 4</t>
  </si>
  <si>
    <t>rrrrr</t>
  </si>
  <si>
    <t>Eje 2</t>
  </si>
  <si>
    <t>uuuuu</t>
  </si>
  <si>
    <t>ooooo</t>
  </si>
  <si>
    <t>ppppp</t>
  </si>
  <si>
    <t>PLAN ESTRATEGICO INSTITUCIONAL o CORPORATIVO o el que haga sus veces</t>
  </si>
  <si>
    <r>
      <rPr>
        <b/>
        <sz val="11"/>
        <color theme="1"/>
        <rFont val="Arial"/>
        <family val="2"/>
      </rPr>
      <t xml:space="preserve">Este documento se estructuró, así:
</t>
    </r>
    <r>
      <rPr>
        <sz val="11"/>
        <color theme="1"/>
        <rFont val="Arial"/>
        <family val="2"/>
      </rPr>
      <t xml:space="preserve">
Primera Sección: “UNIVERSO Y MUESTRA DEL ESTADO DE SITUACIÓN FINANCIERA Y DEL ESTADO DE RESULTADOS”.
Segunda Sección: “INCORRECCIONES E IMPOSIBILIDADES DEL ESTADO DE SITUACIÓN FINANCIERA POR CUENTAS - HALLAZGOS FORMULADOS”.
Tercera Sección: “TIPOS DE OPINIONES, SUS PARÁMETROS, CALIFICACIÓN Y CONCEPTO DEL PRINCIPIO EVALUADO” (Sección Informativa no requiere ningún diligenciamiento).
Cuarta Sección “NÚMERO DE INCORRECCIONES E IMPOSIBILIDADES EN FUNCIÓN A LA MATERIALIDAD” (Esta información se genera automáticamente con el diligenciamiento de la segunda sección, no se requiere digitar ningún dato).
Quinta Sección: “MATERIALIDAD DETERMINADA PARA EL SUJETO DE VIGILANCIA Y CONTROL FISCAL” (Esta información se genera automáticamente con el diligenciamiento de la hoja PVCGF-04-XX Materialidad para Estados Financieros, no digitar ningún dato).
Sexta Sección: “DETERMINACIÓN DE LOS TIPOS DE OPINIÓN”. (Sección Informativa no requiere digitar ningún dato).
Séptima Sección: “NIVEL DE MATERIALIDAD DE LAS IMPOSIBILIDADES Y LAS INCORRECCIONES”. (Esta información se genera automáticamente, no se requiere digitar ningún dato).
Octava Sección: “OPINIÓN OBTENIDA Y CALIFICACIÓN DEL PRINCIPIO EVALUADO”. (Esta información se genera automáticamente con el diligenciamiento de la segunda sección, no se requiere digitar ningún dato).</t>
    </r>
  </si>
  <si>
    <t>1. UNIVERSO Y MUESTRA DEL ESTADO DE SITUACION FINANCIERA Y DEL ESTADO DE RESULTADOS</t>
  </si>
  <si>
    <t>GRUPO</t>
  </si>
  <si>
    <t>SALDOS SEGÚN ESTADOS FINACIEROS</t>
  </si>
  <si>
    <t>SUMA DE LOS SALDOS POSITIVOS Y NEGATIVOS DE LOS ESTADOS FINANCIEROS</t>
  </si>
  <si>
    <t>PART % DE LA MUESTRA</t>
  </si>
  <si>
    <t>TOTAL ACTIVOS</t>
  </si>
  <si>
    <t>TOTAL PASIVO + PATRIMONIO</t>
  </si>
  <si>
    <t>TOTAL INGRESOS</t>
  </si>
  <si>
    <t>TOTAL GASTOS</t>
  </si>
  <si>
    <r>
      <t>Los saldos del grupo total de Activos, Pasivos y Patrimonio según Estados Financieros, la suma de los saldos positivos y negativos de los estados financieros, la Muestra y la participación (%) de la muestra, no se deben digitar, toda vez que estos se obtendrán automáticamente producto del diligenciamiento de la segunda sección “</t>
    </r>
    <r>
      <rPr>
        <i/>
        <sz val="12"/>
        <rFont val="Arial"/>
        <family val="2"/>
      </rPr>
      <t>INCORRECCIONES E IMPOSIBILIDADES DEL ESTADO DE SITUACIÓN FINANCIERA POR CUENTAS - HALLAZGOS FORMULADOS</t>
    </r>
    <r>
      <rPr>
        <sz val="12"/>
        <rFont val="Arial"/>
        <family val="2"/>
      </rPr>
      <t>”. Mientras que los totales de Ingresos y Gastos y su muestra si deberán ser diligenciados por cada auditor.
Esta sección nos permitirá establecer, además de la muestra evaluada por grupo de cuentas, la consistencia con la muestra establecida en el Plan de Trabajo, obteniéndose una visión general del auditaje realizado. Así mismo, servirá de insumo para ajustar futuros procesos a evaluar; en casos de muestras no representativas donde se desborde la capacidad operativa de los contadores comisionados, frente a la complejidad y magnitud de las operaciones del sujeto auditado; situaciones en la que los Directores Sectoriales deberán reforzar el equipo de contadores comisionados para que se pueda dar cumplimiento a los objetivos planteados para este proceso y se minimicen los riesgos de auditoría.</t>
    </r>
  </si>
  <si>
    <t>2. INCORRECCIONES E IMPOSIBILIDADES DEL ESTADO DE SITUACIÓN FINANCIERA POR CUENTAS - HALLAZGOS FORMULADOS</t>
  </si>
  <si>
    <t>CALIFICACIÓN OPINIÓN ESTADOS FINANCIEROS</t>
  </si>
  <si>
    <t>CIFRAS EN</t>
  </si>
  <si>
    <t>PESOS</t>
  </si>
  <si>
    <t>VALOR DIFERENCIAS ABSOLUTAS</t>
  </si>
  <si>
    <t>CODIGO DE LA CUENTA</t>
  </si>
  <si>
    <r>
      <t xml:space="preserve">CUENTA DEL </t>
    </r>
    <r>
      <rPr>
        <b/>
        <sz val="12"/>
        <rFont val="Arial"/>
        <family val="2"/>
      </rPr>
      <t>ACTIVO</t>
    </r>
    <r>
      <rPr>
        <b/>
        <sz val="11"/>
        <rFont val="Arial"/>
        <family val="2"/>
      </rPr>
      <t xml:space="preserve">
</t>
    </r>
    <r>
      <rPr>
        <b/>
        <sz val="9"/>
        <rFont val="Arial"/>
        <family val="2"/>
      </rPr>
      <t>(SI LA CUENTA NO FUE AUDITADA SE REGISTRA A NIVEL DE 4 DIGITOS - SI FUE AUDITADA AL MAYOR NIVEL DE DESAGREGACIÓN)</t>
    </r>
  </si>
  <si>
    <t>SALDO SEGÚN ESTADO DE SITUACIÓN FINANCIERA</t>
  </si>
  <si>
    <t>MUESTRA DE AUDITORIA (Relacione con signo positivo todos los valores seleccionados)</t>
  </si>
  <si>
    <t>SOBRESTIMACION
(Relacione con signo positivo el valor</t>
  </si>
  <si>
    <t>SUBESTIMACION
(Relacione con signo positivo el valor)</t>
  </si>
  <si>
    <t>TOTAL
INCORRECCIONES (Relacione con signo positivo el valor)</t>
  </si>
  <si>
    <t>TOTAL IMPOSIBILIDADES (Relacione con signo positivo el valor)</t>
  </si>
  <si>
    <t>SUMATORIA TOTAL DE INCORRECCIONES + TOTAL DE IMPOSIBILIDADES</t>
  </si>
  <si>
    <t>ORIGEN DE LA IMPOSIBILIDAD</t>
  </si>
  <si>
    <t>TIPO DE HALLAZGO</t>
  </si>
  <si>
    <t>NUMERAL DEL HALLAZGO DEL INFORME FINAL</t>
  </si>
  <si>
    <t>DEPOSITOS EN INSTITUCIONES FINANCIERAS</t>
  </si>
  <si>
    <t>Administrativo</t>
  </si>
  <si>
    <t>EFECTIVO DE USO RESTRINGIDO</t>
  </si>
  <si>
    <t>OTRAS CUENTAS POR COBRAR</t>
  </si>
  <si>
    <t>3.3.1.1</t>
  </si>
  <si>
    <t>TERRENOS</t>
  </si>
  <si>
    <t>3.3.1.2</t>
  </si>
  <si>
    <t>EDIFICACIONES</t>
  </si>
  <si>
    <t>MAQUINARIA Y EQUIPO</t>
  </si>
  <si>
    <t>EQUIPO MEDICO Y CIENTIFICO</t>
  </si>
  <si>
    <t>MUEBLES, ENSERES Y EQUIPO DE OFICINA</t>
  </si>
  <si>
    <t>BIENES Y SERVICIOS PAGADOS POR ANTICIPADO</t>
  </si>
  <si>
    <t>3.3.1.3</t>
  </si>
  <si>
    <t>Información Inexistente</t>
  </si>
  <si>
    <t>3.3.1.4 - 3.3.1.5</t>
  </si>
  <si>
    <t>Información Incompleta</t>
  </si>
  <si>
    <t>TOTAL ACTIVO</t>
  </si>
  <si>
    <t>INDICE</t>
  </si>
  <si>
    <r>
      <t xml:space="preserve">CUENTA DEL </t>
    </r>
    <r>
      <rPr>
        <b/>
        <sz val="12"/>
        <rFont val="Arial"/>
        <family val="2"/>
      </rPr>
      <t>PASIVO Y PATRIMONIO</t>
    </r>
    <r>
      <rPr>
        <b/>
        <sz val="11"/>
        <rFont val="Arial"/>
        <family val="2"/>
      </rPr>
      <t xml:space="preserve">
(</t>
    </r>
    <r>
      <rPr>
        <b/>
        <sz val="9"/>
        <rFont val="Arial"/>
        <family val="2"/>
      </rPr>
      <t>SI LA CUENTA NO FUE AUDITADA SE REGISTRA A NIVEL DE 4 DIGITOS - SI FUE AUDITADA AL MAYOR NIVEL DE DESAGREGACIÓN)</t>
    </r>
  </si>
  <si>
    <t>OTRAS CUENTAS POR PAGAR</t>
  </si>
  <si>
    <t>LITIGIOS Y DEMANDAS</t>
  </si>
  <si>
    <t>AVANCES Y ANTICIPOS RECIBIDOS</t>
  </si>
  <si>
    <t>3.3.1.6</t>
  </si>
  <si>
    <t>RECURSOS RECIBIDOS EN ADMINISTRACION</t>
  </si>
  <si>
    <t>Información Inoportuna</t>
  </si>
  <si>
    <t>3.3.1.7 - 3.3.1.8</t>
  </si>
  <si>
    <t>INGRESOS RECIBIDOS POR ANTICIPADO</t>
  </si>
  <si>
    <t>OTROS PASIVOS DIFERIDOS</t>
  </si>
  <si>
    <t>CAPITAL FISCAL</t>
  </si>
  <si>
    <t>RESULTADO DEL EJERCICIO</t>
  </si>
  <si>
    <t>TOTAL PASIVO Y PATRIMONIO</t>
  </si>
  <si>
    <t xml:space="preserve">INDICE </t>
  </si>
  <si>
    <r>
      <t xml:space="preserve">INDICE PREDOMINANTE </t>
    </r>
    <r>
      <rPr>
        <u/>
        <sz val="11"/>
        <color indexed="10"/>
        <rFont val="Arial"/>
        <family val="2"/>
      </rPr>
      <t>EN %</t>
    </r>
  </si>
  <si>
    <r>
      <t xml:space="preserve">INDICE PREDOMINANTE </t>
    </r>
    <r>
      <rPr>
        <u/>
        <sz val="11"/>
        <color indexed="10"/>
        <rFont val="Arial"/>
        <family val="2"/>
      </rPr>
      <t>EN PESOS</t>
    </r>
  </si>
  <si>
    <r>
      <rPr>
        <b/>
        <sz val="11"/>
        <rFont val="Arial"/>
        <family val="2"/>
      </rPr>
      <t>INSTRUCCIONES PARA EL DILIGENCIAMIENTO DE ESTA SECCIÓN:</t>
    </r>
    <r>
      <rPr>
        <sz val="11"/>
        <rFont val="Arial"/>
        <family val="2"/>
      </rPr>
      <t xml:space="preserve">
•	COLUMNA A: CÓDIGO DE LA CUENTA: Digite en esta casilla, según el grupo al que corresponda (Activo, Pasivo y Patrimonio) el código numérico de la cuenta que presenta el sujeto de control en el Estado de Situación financiera, de acuerdo al catálogo general de cuentas aplicable, establecido por la Contaduría General de la Nación.
•	COLUMNA B: CUENTA DEL ACTIVO/ PASIVO O PATRIMONIO: Digite en esta casilla, según el grupo al que corresponda (Activo, Pasivo y Patrimonio) el nombre de la cuenta que presenta el sujeto de control en el Estado de Situación financiera, de acuerdo al catálogo general de cuentas aplicable, establecido por la Contaduría General de la Nación.
•	COLUMNA C: SALDO SEGÚN ESTADO DE SITUACIÓN FINANCIERA: Digite en esta casilla, según el grupo al que corresponda (Activo, Pasivo y Patrimonio) el saldo de la cuenta que presenta el sujeto de control en el Estado de Situación financiera, de acuerdo al catálogo general de cuentas aplicable, establecido por la Contaduría General de la Nación.
•	COLUMNA D: MUESTRA DE AUDITORÍA: Digite en esta casilla, según el grupo al que corresponda (Activo, Pasivo y Patrimonio) el saldo de la cuenta que fue auditada y deje en blanco las no auditadas.
Nota: Para las cuentas auditadas o que presentan saldo en la columna D, se deberán adecuar y presentar las Columnas A, B y C al mayor nivel de desagregación. Lo anterior para efectos de puntualizar la cuenta y saldo auditado, la representatividad de la muestra y determinar e identificar adecuadamente las cuentas que presentan incorrecciones e imposibilidades. Relacione en la columna los valores con signo positivo todos los valores seleccionados.
Para las cuentas no auditadas, su presentación en todos los campos se efectuará a nivel de 4 dígitos.
•	COLUMNA E: SOBRESTIMACIÓN: Registre en las celdas de esta columna el valor resultante de la sumatoria de las incorrecciones establecidas por el auditor para cada cuenta auditada, cuando el saldo presentado por el sujeto de control, sea mayor al establecido por el auditor. A manera de ejemplo: Si la cuenta Muebles y Enseres presento un saldo a diciembre 31 de 20xx de $150.000.000 y dentro de este se incluyeron $30.000.000 por concepto de bienes que la entidad dio de baja y cuyo retiro no fue registrado, este valor deberá ser registrado en esta columna. Relacione con signo positivo el valor.
•	COLUMNA F: SUBESTIMACIÓN: Registre en las celdas de esta columna el valor resultante de la sumatoria de las incorrecciones establecidas por el auditor para cada cuenta auditada, cuando el saldo presentado por el sujeto de control, sea menor al establecido por el auditor. A manera de ejemplo: Si la cuenta Muebles y Enseres que presento un saldo a diciembre 31 de 20xx de $150.000.000 y dentro de este se incluyeron $50.000.000 por concepto de bienes adquiridos que no fueron registrados, este valor deberá ser registrado en esta columna. Relacione con signo positivo el valor.</t>
    </r>
  </si>
  <si>
    <r>
      <t xml:space="preserve">•	COLUMNA G: TOTAL INCORRECCIONES: Las celdas de esta columna no se diligencian, toda vez que se generan automáticamente producto de la suma de las celdas de las columnas E (SOBRESTIMACIÓN) + F (SUBESTIMACIÓN). Relacione con signo positivo el valor.
•	COLUMNA H: TOTAL IMPOSIBILIDADES: Registre en las celdas de esta columna el valor resultante de la sumatoria de los saldos presentados por el sujeto de control de las cuentas objeto de análisis, sobre los cuales no se logró obtener evidencia válida y suficiente sobre su razonabilidad. A manera de ejemplo, cuando al examinar la cuenta Anticipos, se observa que en los registros no se encuentra identificado el tercero deudor y los documentos soportes no justifican los hechos económicos, afectando el saldo del Grupo Deudores. Relacione con signo positivo el valor.
Nota: En la medida de lo posible, identificar al máximo nivel de cuenta, el saldo u operaciones sobre los cuales se evidencia la imposibilidad para evitar generalizar esta condición a otras cuentas que no les aplique.
•	COLUMNA I:	SUMATORIA TOTAL DE INCORRECCIONES + TOTAL DE IMPOSIBILIDADES: Las celdas de esta columna no se diligencian, toda vez que se generan automáticamente producto de la suma de las celdas de las columnas G (TOTAL INCORRECCIONES) y H (TOTAL IMPOSIBILIDADES).
</t>
    </r>
    <r>
      <rPr>
        <b/>
        <sz val="11"/>
        <rFont val="Arial"/>
        <family val="2"/>
      </rPr>
      <t>Todas las celdas de las anteriores columnas se deben diligenciar en pesos.</t>
    </r>
    <r>
      <rPr>
        <sz val="11"/>
        <rFont val="Arial"/>
        <family val="2"/>
      </rPr>
      <t xml:space="preserve">
•	COLUMNA J: ORIGEN DE LA IMPOSIBILIDAD: Vía lista desplegable, incluya en las celdas correlativas a las imposibilidades establecidas, seleccionando alguna de las siguientes opciones: “INFORMACION INEXISTENTE”, “INFORMACION INCOMPLETA”, “INFORMACION INOPORTUNA” o “INFORMACION INCOMPLETA E INOPORTUNA”, de los saldos sobre los cuales no se logró obtener evidencia válida y suficiente sobre su razonabilidad.
•	COLUMNA K: TIPO DE HALLAZGO: Vía lista desplegable, incluya en las celdas correlativas, el hallazgo con su incidencia, seleccionando alguna de las opciones: “Administrativo”, “Administrativo – Disciplinaria”, “Administrativo – Disciplinaria y Penal”, “Administrativo – Disciplinaria, Penal y Fiscal” o “Administrativo – Disciplinaria y Fiscal”, de los saldos sobre los cuales se determinaron incorrecciones y/o no se logró obtener evidencia válida y suficiente sobre su razonabilidad.
•	COLUMNA L: NUMERAL DEL HALLAZGO DEL INFORME FINAL: Incluya el numeral del hallazgo bajo el cual fue presentado en el informe final de auditoría.
Una vez diligenciadas todas las celdas relacionadas anteriormente, y a partir de sus totales, tanto para las cuentas del activo, como para las de pasivo y patrimonio, se generarán automáticamente los porcentajes de: Representación de las muestras, de las incorrecciones, imposibilidades y de la sumatoria total de incorrecciones + total de imposibilidades.
Así mismo, con el fin de establecer el tipo de opinión a emitir se generaron dos filas denominadas ÍNDICE PREDOMINANTE EN % e ÍNDICE PREDOMINANTE EN PESOS, producto de obtener el mayor porcentaje (%) y valor comparativo de las desviaciones de los totales de incorrecciones y de imposibilidades por grupo del activo frente a las del pasivo y patrimonio.</t>
    </r>
  </si>
  <si>
    <r>
      <t xml:space="preserve">3. TIPOS DE OPINIONES, SUS PARAMETROS, CALIFICACIÓN Y CONCEPTO DEL PRINCIPIO EVALUADO </t>
    </r>
    <r>
      <rPr>
        <b/>
        <i/>
        <sz val="16"/>
        <rFont val="Arial"/>
        <family val="2"/>
      </rPr>
      <t>(Sección Informativa no requiere ningún diligenciamiento</t>
    </r>
    <r>
      <rPr>
        <b/>
        <sz val="16"/>
        <rFont val="Arial"/>
        <family val="2"/>
      </rPr>
      <t>):</t>
    </r>
  </si>
  <si>
    <t>OPINIÓN</t>
  </si>
  <si>
    <t>INCORRECCIONES</t>
  </si>
  <si>
    <t>IMPOSIBILIDADES</t>
  </si>
  <si>
    <t>ACUMULADO DE INCORRRECCIONES + IMPOSIBILIDADES</t>
  </si>
  <si>
    <t>Puntaje asignado de acuerdo con la Opinión</t>
  </si>
  <si>
    <t>Concepto sobre el principio de Eficacia</t>
  </si>
  <si>
    <t>LIMPIA O SIN SALVEDADES</t>
  </si>
  <si>
    <r>
      <rPr>
        <b/>
        <sz val="9"/>
        <rFont val="Arial"/>
        <family val="2"/>
      </rPr>
      <t>NO MATERIAL</t>
    </r>
    <r>
      <rPr>
        <sz val="9"/>
        <rFont val="Arial"/>
        <family val="2"/>
      </rPr>
      <t xml:space="preserve">
Menores a la materialidad cuantitativa del total de activos o del pasivo + patrimonio.</t>
    </r>
  </si>
  <si>
    <r>
      <t>NO MATERIAL</t>
    </r>
    <r>
      <rPr>
        <sz val="9"/>
        <color indexed="8"/>
        <rFont val="Arial"/>
        <family val="2"/>
      </rPr>
      <t xml:space="preserve"> 
Menores a la materialidad cuantitativa del total de activo o del pasivo + patrimonio..</t>
    </r>
  </si>
  <si>
    <r>
      <t>NO MATERIAL</t>
    </r>
    <r>
      <rPr>
        <sz val="9"/>
        <color indexed="8"/>
        <rFont val="Arial"/>
        <family val="2"/>
      </rPr>
      <t xml:space="preserve"> 
Menores a la materialidad cuantitativa del total de activo o del pasivo + patrimonio.</t>
    </r>
  </si>
  <si>
    <t>CON SALVEDADES</t>
  </si>
  <si>
    <r>
      <rPr>
        <b/>
        <sz val="9"/>
        <rFont val="Arial"/>
        <family val="2"/>
      </rPr>
      <t>MATERIAL</t>
    </r>
    <r>
      <rPr>
        <sz val="9"/>
        <rFont val="Arial"/>
        <family val="2"/>
      </rPr>
      <t xml:space="preserve"> 
Mayores o iguales a 1 y menores que 5 veces la materialidad cuantitativa obtenida para el total del activos o del pasivo + patrimonio.</t>
    </r>
  </si>
  <si>
    <r>
      <t xml:space="preserve">MATERIAL 
</t>
    </r>
    <r>
      <rPr>
        <sz val="9"/>
        <color indexed="8"/>
        <rFont val="Arial"/>
        <family val="2"/>
      </rPr>
      <t>Mayores o iguales a 1 y menores que 5 veces la materialidad cuantitativa obtenida para el total del Activo o del Pasivo más Patrimonio</t>
    </r>
  </si>
  <si>
    <r>
      <t xml:space="preserve">MATERIAL 
</t>
    </r>
    <r>
      <rPr>
        <sz val="9"/>
        <color indexed="8"/>
        <rFont val="Arial"/>
        <family val="2"/>
      </rPr>
      <t>Mayores o iguales a 1 y menores que 5 veces la materialidad cuantitativa obtenida para el total del activo o del pasivo + patrimonio.</t>
    </r>
  </si>
  <si>
    <t>ADVERSA O NEGATIVA</t>
  </si>
  <si>
    <r>
      <rPr>
        <b/>
        <sz val="9"/>
        <rFont val="Arial"/>
        <family val="2"/>
      </rPr>
      <t>MATERIAL GENERALIZADA</t>
    </r>
    <r>
      <rPr>
        <sz val="9"/>
        <rFont val="Arial"/>
        <family val="2"/>
      </rPr>
      <t xml:space="preserve">
Iguales o superiores a 5 veces la materialidad cuantitativa del activo o del pasivo + patrimonio.</t>
    </r>
  </si>
  <si>
    <r>
      <rPr>
        <b/>
        <sz val="9"/>
        <color indexed="8"/>
        <rFont val="Arial"/>
        <family val="2"/>
      </rPr>
      <t>MATERIAL GENERALIZADA</t>
    </r>
    <r>
      <rPr>
        <sz val="9"/>
        <color indexed="8"/>
        <rFont val="Arial"/>
        <family val="2"/>
      </rPr>
      <t xml:space="preserve">
Iguales o superiores a 5 veces la materialidad cuantitativa del activo o del pasivo + patrimonio.</t>
    </r>
  </si>
  <si>
    <r>
      <rPr>
        <b/>
        <sz val="9"/>
        <color indexed="8"/>
        <rFont val="Arial"/>
        <family val="2"/>
      </rPr>
      <t>MATERIAL GENERALIZADA</t>
    </r>
    <r>
      <rPr>
        <sz val="9"/>
        <color indexed="8"/>
        <rFont val="Arial"/>
        <family val="2"/>
      </rPr>
      <t xml:space="preserve">
Iguales o superiores a 5 veces la materialidad cuantitativa del total del activo o del pasivo + patrimonio.</t>
    </r>
  </si>
  <si>
    <t>DENEGACIÓN O ABSTENCIÓN</t>
  </si>
  <si>
    <r>
      <t>4. NUMERO DE INCORRECCIONES E IMPOSIBILIDADES EN FUNCIÓN A LA MATERIALIDAD (</t>
    </r>
    <r>
      <rPr>
        <b/>
        <i/>
        <sz val="16"/>
        <rFont val="Arial"/>
        <family val="2"/>
      </rPr>
      <t>Sección que se diligencia automáticamente con el diligenciamiento de la segunda sección, no digitar ningún dato</t>
    </r>
    <r>
      <rPr>
        <b/>
        <sz val="16"/>
        <rFont val="Arial"/>
        <family val="2"/>
      </rPr>
      <t>):</t>
    </r>
  </si>
  <si>
    <t>NUMERO DE INCORRECCIONES EN FUNCIÓN A LA MATERIALIDAD</t>
  </si>
  <si>
    <t>EN FUNCIÓN AL VALOR</t>
  </si>
  <si>
    <t>EN %</t>
  </si>
  <si>
    <t>NUMERO DE IMPOSIBILIDADES EN FUNCIÓN A LA MATERIALIDAD</t>
  </si>
  <si>
    <t>NUMERO DE INCORRECCIONES + IMPOSIBILIDADES EN FUNCIÓN A LA MATERIALIDAD</t>
  </si>
  <si>
    <r>
      <rPr>
        <b/>
        <u/>
        <sz val="14"/>
        <color indexed="8"/>
        <rFont val="Arial"/>
        <family val="2"/>
      </rPr>
      <t>A</t>
    </r>
    <r>
      <rPr>
        <u/>
        <sz val="14"/>
        <color indexed="8"/>
        <rFont val="Arial"/>
        <family val="2"/>
      </rPr>
      <t>. Respecto al agregado por valor:</t>
    </r>
    <r>
      <rPr>
        <sz val="14"/>
        <color indexed="8"/>
        <rFont val="Arial"/>
        <family val="2"/>
      </rPr>
      <t xml:space="preserve"> Número de veces en que las incorrecciones del </t>
    </r>
    <r>
      <rPr>
        <b/>
        <sz val="14"/>
        <color indexed="8"/>
        <rFont val="Arial"/>
        <family val="2"/>
      </rPr>
      <t>Activo</t>
    </r>
    <r>
      <rPr>
        <sz val="14"/>
        <color indexed="8"/>
        <rFont val="Arial"/>
        <family val="2"/>
      </rPr>
      <t xml:space="preserve"> sobrepasan el valor de la materialidad?</t>
    </r>
  </si>
  <si>
    <t>C. Respecto al agregado por valor: Número de veces en que las imposibilidades del Activo sobrepasan el valor de la materialidad?</t>
  </si>
  <si>
    <t>E. Respecto al agregado por valor: Número de veces en que las incorrecciones + las imposibilidades del Activo sobrepasan el valor de la materialidad?</t>
  </si>
  <si>
    <r>
      <rPr>
        <u/>
        <sz val="14"/>
        <color indexed="8"/>
        <rFont val="Arial"/>
        <family val="2"/>
      </rPr>
      <t>B. Respecto al agregado por valor:</t>
    </r>
    <r>
      <rPr>
        <sz val="14"/>
        <color indexed="8"/>
        <rFont val="Arial"/>
        <family val="2"/>
      </rPr>
      <t xml:space="preserve"> Número de veces en que las incorrecciones del </t>
    </r>
    <r>
      <rPr>
        <b/>
        <sz val="14"/>
        <color indexed="8"/>
        <rFont val="Arial"/>
        <family val="2"/>
      </rPr>
      <t>Pasivo + Patrimonio</t>
    </r>
    <r>
      <rPr>
        <sz val="14"/>
        <color indexed="8"/>
        <rFont val="Arial"/>
        <family val="2"/>
      </rPr>
      <t xml:space="preserve"> sobrepasan el valor de la materialidad?</t>
    </r>
  </si>
  <si>
    <t>D. Respecto al agregado por valor: Número de veces en que las imposibilidades del Pasivo + Patrimonio sobrepasan el valor de la materialidad?</t>
  </si>
  <si>
    <t>F. Respecto al agregado por valor: Número de veces en que las incorrecciones + las imposibilidades del Pasivo + Patrimonio sobrepasan el valor de la materialidad?</t>
  </si>
  <si>
    <t>INDICE PREDOMINATE ENTRE ACTIVOS Y PASIVOS + PATRIMONIO</t>
  </si>
  <si>
    <t>En esta sección se obtiene de manera automática el número de veces de las incorrecciones e imposibilidades en función al valor y al porcentaje establecido en materialidad cuantitativa del activo y del pasivo + patrimonio. En estos términos se establece el índice predominante entre el activo y el pasivo + patrimonio.</t>
  </si>
  <si>
    <r>
      <t>5. MATERIALIDAD DETERMINADA PARA EL SUJETO DE VIGILANCIA Y CONTROL FISCAL (</t>
    </r>
    <r>
      <rPr>
        <b/>
        <i/>
        <sz val="16"/>
        <rFont val="Arial"/>
        <family val="2"/>
      </rPr>
      <t>Sección que se diligencia automáticamente con el diligenciamiento de la hoja PVCGF-04-XX Materialidad para Estados Financieros, no digitar ningún dato</t>
    </r>
    <r>
      <rPr>
        <b/>
        <sz val="16"/>
        <rFont val="Arial"/>
        <family val="2"/>
      </rPr>
      <t>):</t>
    </r>
  </si>
  <si>
    <t>Monto Activo Total</t>
  </si>
  <si>
    <t>Corresponde a los resultados obtenidos en el papel de trabajo PVCGF-04-XX Materialidad para Estados Financieros, indicando la suma de su puntaje, el rango establecido, la base seleccionada, el monto total de la base, el porcentaje y el valor de la materialidad.</t>
  </si>
  <si>
    <r>
      <t>6. DETERMINACIÓN DE LOS TIPOS DE OPINIÓN (</t>
    </r>
    <r>
      <rPr>
        <b/>
        <i/>
        <sz val="16"/>
        <color rgb="FF000000"/>
        <rFont val="Arial"/>
        <family val="2"/>
      </rPr>
      <t>Sección Informativa no requiere ningún diligenciamiento</t>
    </r>
    <r>
      <rPr>
        <b/>
        <sz val="16"/>
        <color indexed="8"/>
        <rFont val="Arial"/>
        <family val="2"/>
      </rPr>
      <t>):</t>
    </r>
  </si>
  <si>
    <r>
      <t>7. NIVEL DE MATERIALIDAD DE LAS IMPOSIBILIDADES Y LAS INCORRECCIONES (</t>
    </r>
    <r>
      <rPr>
        <b/>
        <i/>
        <sz val="14"/>
        <color rgb="FF000000"/>
        <rFont val="Arial"/>
        <family val="2"/>
      </rPr>
      <t>Sección que se genera automáticamente,  no requiere digitar ningún dato</t>
    </r>
    <r>
      <rPr>
        <b/>
        <sz val="14"/>
        <color indexed="8"/>
        <rFont val="Arial"/>
        <family val="2"/>
      </rPr>
      <t>):</t>
    </r>
  </si>
  <si>
    <r>
      <t xml:space="preserve">IMPOSIBILIDADES: </t>
    </r>
    <r>
      <rPr>
        <sz val="12"/>
        <color indexed="8"/>
        <rFont val="Arial"/>
        <family val="2"/>
      </rPr>
      <t>Rubro o cuenta de los Estados Financieros sobre la cual el auditor no tiene seguridad razonable de que esté libre de errores, debido a la no obtención de evidencia suficiente y adecuada, por lo tanto, no puede establecer un valor cuantitativo de la misma. Esta situación puede generar una opinión Con Salvedades o, Denegación o Abstención de opinión.</t>
    </r>
  </si>
  <si>
    <t>IMPOSIBILIDADES + INCORRECCIONES</t>
  </si>
  <si>
    <r>
      <t xml:space="preserve">IMPOSIBILIDADES O INCORRECCIÓN NO MATERIAL: </t>
    </r>
    <r>
      <rPr>
        <sz val="12"/>
        <rFont val="Arial"/>
        <family val="2"/>
      </rPr>
      <t>Cuando cada una de estas o sumadas son menores a la materialidad cuantitativa del total de activos o del pasivo + patrimonio, se generará una opinión limpia o sin salvedades.</t>
    </r>
  </si>
  <si>
    <t>NO MATERIAL</t>
  </si>
  <si>
    <r>
      <rPr>
        <b/>
        <sz val="12"/>
        <rFont val="Arial"/>
        <family val="2"/>
      </rPr>
      <t xml:space="preserve">IMPOSIBILIDAD O INCORRECCIÓN MATERIAL: </t>
    </r>
    <r>
      <rPr>
        <sz val="12"/>
        <rFont val="Arial"/>
        <family val="2"/>
      </rPr>
      <t>Cuando cada una de estas o sumadas son más de 1 y menos de 5 veces la materialidad cuantitativa del total de activos o del pasivo + patrimonio, generará una opinión con salvedades.</t>
    </r>
  </si>
  <si>
    <t>MATERIAL</t>
  </si>
  <si>
    <r>
      <t xml:space="preserve">IMPOSIBILIDAD O INCORRECCIÓN MATERIAL GENERALIZADA: </t>
    </r>
    <r>
      <rPr>
        <sz val="12"/>
        <rFont val="Arial"/>
        <family val="2"/>
      </rPr>
      <t>Cuando cada una de estas o sumadas son más de 5 veces la materialidad cuantitativa del total de activos o del pasivo + patrimonio, generará una opinión adversa o una Denegación o Abstención de Opinión, según el índice predominante.</t>
    </r>
  </si>
  <si>
    <t>MATERIAL GENERALIZADA</t>
  </si>
  <si>
    <t>TOTAL IMPOSIBILIDADES ES MAYOR A TOTAL INCORRECCIONES</t>
  </si>
  <si>
    <r>
      <t>Séptima Sección: “</t>
    </r>
    <r>
      <rPr>
        <i/>
        <sz val="12"/>
        <rFont val="Arial"/>
        <family val="2"/>
      </rPr>
      <t>NIVEL DE MATERIALIDAD DE LAS IMPOSIBILIDADES Y LAS INCORRECCIONES</t>
    </r>
    <r>
      <rPr>
        <sz val="12"/>
        <rFont val="Arial"/>
        <family val="2"/>
      </rPr>
      <t>”. (Esta información se genera automáticamente, no se requiere digitar ningún dato):
En esta sección no hay que incorporar información, esta se obtiene automáticamente a partir del diligenciamiento de las secciones anteriores. Con base en los índices predominantes, nos arroja el nivel o categoría en que se encuentran las incorrecciones, las imposibilidades y las imposibilidades + las incorrecciones. Así mismo, para el caso en el cual las imposibilidades y las incorrecciones sean categorizadas como materiales y generalizadas, nos compara cuál de ellas es la predominante para establecer si estamos frente a una opinión adversa o negativa o una Denegación o abstención de opinión.</t>
    </r>
  </si>
  <si>
    <r>
      <t>8. OPINIÓN OBTENIDA Y CALIFICACIÓN DEL PRINCIPIO EVALUADO -  (</t>
    </r>
    <r>
      <rPr>
        <b/>
        <i/>
        <sz val="16"/>
        <color theme="1"/>
        <rFont val="Arial"/>
        <family val="2"/>
      </rPr>
      <t>Esta información se genera automáticamente con el diligenciamiento de la segunda sección, no se requiere digitar ningún dato</t>
    </r>
    <r>
      <rPr>
        <b/>
        <sz val="16"/>
        <color theme="1"/>
        <rFont val="Arial"/>
        <family val="2"/>
      </rPr>
      <t>)</t>
    </r>
  </si>
  <si>
    <t>TIPO DE OPINIÓN</t>
  </si>
  <si>
    <t>En esta sección no hay que incorporar información, ésta se obtiene automáticamente, a partir del diligenciamiento de las secciones anteriores. Con base en los índices predominantes arroja el tipo de opinión obtenida, el porcentaje (%) y calificación del principio de eficacia que mide este proceso.</t>
  </si>
  <si>
    <t>ABSTENCION</t>
  </si>
  <si>
    <t>Administrativo - Disciplinaria</t>
  </si>
  <si>
    <t>Administrativo - Disciplinaria y Penal</t>
  </si>
  <si>
    <t>Administrativo - Disciplinaria, Penal y Fiscal</t>
  </si>
  <si>
    <t>Información Incompleta e Inoportuna</t>
  </si>
  <si>
    <t>Administrativo - Disciplinaria y Fiscal</t>
  </si>
  <si>
    <t>Tipo de Auditoría:</t>
  </si>
  <si>
    <t>Fecha evaluación:</t>
  </si>
  <si>
    <r>
      <t xml:space="preserve">1. CONSOLIDADO DE LA CALIFICACIÓN </t>
    </r>
    <r>
      <rPr>
        <b/>
        <i/>
        <sz val="14"/>
        <rFont val="Arial"/>
        <family val="2"/>
      </rPr>
      <t>(Sección Informativa que no requiere diligenciamiento)</t>
    </r>
  </si>
  <si>
    <t>SUBPROCESO</t>
  </si>
  <si>
    <t>PONDERACION INICIAL</t>
  </si>
  <si>
    <t>PONDERACION CON DATOS eficacia</t>
  </si>
  <si>
    <t>PONDERACION CON DATOS EFICIENCIA</t>
  </si>
  <si>
    <t>PONDERACION REDISTRIBUIDA EFICACIA</t>
  </si>
  <si>
    <t>PONDERACION REDISTRIBUIDA EFICIENCIA</t>
  </si>
  <si>
    <t>CALIFICACION POR SUBPROCESO (promedio)</t>
  </si>
  <si>
    <t>CALIFICACION PROCESO
(promedio ponderado)</t>
  </si>
  <si>
    <t>EFICACIA PONDERADA</t>
  </si>
  <si>
    <t>EFICIENCIA PONDERADA</t>
  </si>
  <si>
    <t>Indicadores Financieros a partir de Estados Financieros</t>
  </si>
  <si>
    <t>Deuda Pública Interna y Externa y Servicio de la Deuda Pública</t>
  </si>
  <si>
    <t>Inversiones en Títulos Valores</t>
  </si>
  <si>
    <t>Inversiones Accionarias o Patrimoniales</t>
  </si>
  <si>
    <t>CALIFICACION DEL PROCESO</t>
  </si>
  <si>
    <t>&gt;=75% - &lt;=100</t>
  </si>
  <si>
    <t>&lt;75%</t>
  </si>
  <si>
    <t>En esta sección el auditor no deberá diligenciar ningún campo, toda vez que, ésta, se alimenta con el resultado del diligenciamiento de la segunda sección, se calcula automáticamente
La tabla de calificación y el concepto de efectividad del desempeño financiero, consolida la evaluación realizada por cada uno de los aspectos e indicadores de conformidad con los principios de eficacia y eficiencia, es pertinente verificar el contenido de la Guía para evaluar el desempeño Financiero PVCGF-04-05.
Mediante la evaluación de la gestión financiera se busca medir el principio de EFICACIA y EFICIENCIA, y la combinación de estos dos principios se expresa en términos de efectividad de acuerdo a los siguientes rangos:</t>
  </si>
  <si>
    <t>2. APLICACIÓN ANALISIS Y RESULTADOS DE LOS INDICADORES</t>
  </si>
  <si>
    <t>RESULTADOS DE LA EVALUACIÓN DEL DESEMPEÑO FINANCIERO</t>
  </si>
  <si>
    <t xml:space="preserve">INDICADORES FINANCIEROS </t>
  </si>
  <si>
    <t>TIPO DE INDICADOR</t>
  </si>
  <si>
    <t xml:space="preserve">INTERPRETACIÓN DE RESULTADO POR TIPO DE INDICADOR </t>
  </si>
  <si>
    <t>RESULTADO DE LA GESTION FISCAL</t>
  </si>
  <si>
    <t>FORMULA</t>
  </si>
  <si>
    <t>RESULTADOS DE LA APLICACIÓN DE LA FORMULA</t>
  </si>
  <si>
    <t>UNIDAD DE MEDIDA DEL RESULTADO</t>
  </si>
  <si>
    <t>INTERPRETACIÓN DEL INDICADOR</t>
  </si>
  <si>
    <t xml:space="preserve">Aplicación de los indicadores financieros a partir de Estados Financieros </t>
  </si>
  <si>
    <t>SECTOR DESCENTRALIZADO, SOCIEDADES DE ECONOMÍA MIXTA Y SECRETARÍA DE HACIENDA</t>
  </si>
  <si>
    <t xml:space="preserve"> Razón corriente</t>
  </si>
  <si>
    <t>Activo corriente / Pasivo corriente x 100</t>
  </si>
  <si>
    <t>Porcentaje</t>
  </si>
  <si>
    <t>Expresa la relación entre activos corrientes y pasivos corrientes, e indica cuantos pesos pose la empresa en los activos corriente por cada peso de los pasivos corrientes.</t>
  </si>
  <si>
    <t xml:space="preserve"> LIQUIDEZ</t>
  </si>
  <si>
    <t xml:space="preserve">Cuenta con disponibilidad de efectivo para atender sus obligaciones más inmediatas, a medida que éstas se vencen. </t>
  </si>
  <si>
    <t xml:space="preserve"> Proporciona el nivel de sostenibilidad y de crecimiento empresarial, así mismo, las debilidades en su estructura financiera y gestión operativa. </t>
  </si>
  <si>
    <t xml:space="preserve"> Capital de Trabajo </t>
  </si>
  <si>
    <t>Activo corriente - Pasivo corriente</t>
  </si>
  <si>
    <t>Valor absoluto</t>
  </si>
  <si>
    <t>Permite determinar con cuántos recursos cuenta la empresa para operar si se pagan los pasivos a corto plazo.</t>
  </si>
  <si>
    <t xml:space="preserve">Mantiene un capital de trabajo adecuado en relación con el ciclo operativo y el comportamiento del flujo de caja.   </t>
  </si>
  <si>
    <t xml:space="preserve">Comportamiento del flujo de efectivo </t>
  </si>
  <si>
    <t>(Disponibilidad Inicial (+) Recaudos del Periodo (-) Giros o pagos del Periodo = Superávit (liquidez) o déficit de tesorería (iliquidez)).</t>
  </si>
  <si>
    <t>Valores absolutos</t>
  </si>
  <si>
    <t>Permite obtener claridad sobre las partidas de recaudos y pagos que generan y demandan efectivo a la compañía. La función principal del flujo de efectivo es mostrar el superávit (liquidez) o el déficit de tesorería (iliquidez).</t>
  </si>
  <si>
    <t xml:space="preserve">Nivel de Endeudamiento. </t>
  </si>
  <si>
    <t>(Pasivo total / Activo total) x 100</t>
  </si>
  <si>
    <t>Mide la proporción de los activos totales que financian los acreedores de la empresa. Entre mayor es el índice, mayor es el monto del dinero de terceros usado para generar utilidades.</t>
  </si>
  <si>
    <t>ENDEUDAMIENTO</t>
  </si>
  <si>
    <t>Cuenta con la capacidad para responder por el endeudamiento, de tal forma que no comprometa los activos para cumplir con el pago de sus obligaciones.</t>
  </si>
  <si>
    <t>Concentración Endeudamiento a Corto Plazo</t>
  </si>
  <si>
    <t>(Pasivo corriente / Pasivo total) x 100</t>
  </si>
  <si>
    <t>Permite analizar qué porcentaje de la deuda está a corto plazo, es decir, en relación al total de las obligaciones de la empresa, qué tanto debe cancelar en el plazo máximo de un año.</t>
  </si>
  <si>
    <t>El nivel de endeudamiento a corto plazo es apropiado y le permite cumplir con aquellas obligaciones y compromisos menores a un año.</t>
  </si>
  <si>
    <t>Endeudamiento financiero</t>
  </si>
  <si>
    <t>Pasivo total / Patrimonio neto x 100</t>
  </si>
  <si>
    <t>Grado de cobertura que puede tener el patrimonio respecto a las obligaciones contraídas con terceros</t>
  </si>
  <si>
    <t>Los propietarios de la empresa respaldan el nivel de endeudamiento asumido, frente a la capacidad para cumplir con sus obligaciones contraídas con terceros para financiar los activos.</t>
  </si>
  <si>
    <t>Cubrimiento de intereses</t>
  </si>
  <si>
    <t xml:space="preserve">(EBITDA / Gasto de Intereses) x 100 </t>
  </si>
  <si>
    <t>Número de veces que la utilidad operacional supera a los intereses registrados en los gastos.</t>
  </si>
  <si>
    <t>Cuenta con el apalancamiento óptimo para cumplir con el nivel de endeudamiento a coto y largo plazo y su financiación</t>
  </si>
  <si>
    <t>Índice de Solvencia</t>
  </si>
  <si>
    <t>(Activo Total/ Pasivo total) x 100</t>
  </si>
  <si>
    <t xml:space="preserve">Mide la cantidad de pesos con los que, entre bienes y derechos se cuenta para respaldar cada peso que posee de deuda. </t>
  </si>
  <si>
    <t>EBITDA</t>
  </si>
  <si>
    <t>Utilidad antes de intereses e impuestos (Utilidad Operativa) + Depreciaciones + Amortizaciones + Provisiones</t>
  </si>
  <si>
    <t>Permite obtener una idea clara del rendimiento operativo de la empresa, al descontar de la utilidad operativa aquellos gastos contables que no implican salida de dinero en efectivo.</t>
  </si>
  <si>
    <t>RENDIMIENTO</t>
  </si>
  <si>
    <t xml:space="preserve">Tiene la capacidad para generar utilidades a partir del desempeño y resultados de sus actividades  productivas, derivadas de las decisiones estratégicas, para maximizar el valor del capital y el de sus accionistas.   </t>
  </si>
  <si>
    <t>Margen de Utilidad Neta</t>
  </si>
  <si>
    <t>(Utilidad neta / ventas netas) x 100</t>
  </si>
  <si>
    <t xml:space="preserve">Muestra la utilidad por cada unidad de venta. </t>
  </si>
  <si>
    <t xml:space="preserve"> Margen Operacional. </t>
  </si>
  <si>
    <t>(Utilidad Operacional / Ventas) x 100</t>
  </si>
  <si>
    <t>Mide el beneficio que obtiene la empresa por cada peso de ventas, luego de pagar costos y gastos como mano de obra e insumos directos, justo antes de intereses e impuestos.</t>
  </si>
  <si>
    <t>Dividendos efectivamente pagados</t>
  </si>
  <si>
    <t>(Dividendos decretados / Dividendos pagados) x 100</t>
  </si>
  <si>
    <t>Determina los dividendos efectivamente pagados a los accionistas de la empresa.</t>
  </si>
  <si>
    <t>Produce el retorno de la inversión a los socios o  accionistas en términos de rentabilidad y dividendos decretados y efectivamente  pagados.</t>
  </si>
  <si>
    <t xml:space="preserve"> Beneficio por Acción (BPA)</t>
  </si>
  <si>
    <t>Utilidad neta / Número de acciones</t>
  </si>
  <si>
    <t>Beneficio o pérdida sobre cada acción (ordinaria o preferente) en función de las acciones ordinarias o preferentes que se encuentren en circulación.</t>
  </si>
  <si>
    <t>Rentabilidad por Dividendo</t>
  </si>
  <si>
    <t>(Dividendo pagado por acción / Precio de la acción) x 100</t>
  </si>
  <si>
    <t>Beneficios que obtiene una empresa sobre sus operaciones, en un periodo determinado, que se pagan a los accionistas según la cantidad de acciones que posean.</t>
  </si>
  <si>
    <t>Comportamiento  valor de la acción</t>
  </si>
  <si>
    <t>(valor acción año actual - valor acción año anterior / valor acción año anterior) x100</t>
  </si>
  <si>
    <t xml:space="preserve">Determina el comportamiento del valor de la acción en el mercado bursátil en el periodo evaluado, en relación con el año  anterior. </t>
  </si>
  <si>
    <t xml:space="preserve">El valor de las acciones cotizadas en el mercado bursátil genera estabilidad para la empresa y sus accionistas, aportando valor agregado. </t>
  </si>
  <si>
    <t>Eficiencia en el recaudo</t>
  </si>
  <si>
    <t>(Recaudos en la vigencia actual de los saldos por cobrar de vigencias anteriores/ Saldo por cobrar en la vigencia anterior) x 100</t>
  </si>
  <si>
    <t>Porcentaje del recaudo de la vigencia actual de los recursos por cobrar de vigencias anteriores</t>
  </si>
  <si>
    <t>ACTIVIDAD</t>
  </si>
  <si>
    <t xml:space="preserve">El proceso de recaudo de cartera en la vigencia evaluada se llevó a cabo de manera eficiente, en relación con los recursos ingresados por cuentas por cobrar de vigencias anteriores, incluido el análisis de costo beneficio en el proceso de recuperación de la cartera. </t>
  </si>
  <si>
    <t>Variación marginal del Ingreso</t>
  </si>
  <si>
    <t>(Ingresos propios de la vigencia analizada / Ingresos propios de la vigencia anterior) x 100.</t>
  </si>
  <si>
    <t>Variación porcentual de la generación de Ingresos propios de una vigencia en relación a otra.</t>
  </si>
  <si>
    <t>Relación Beneficio Costo de Cartera</t>
  </si>
  <si>
    <t>(Sumatoria de costos y gastos asumidos para el recaudo de cartera en la vigencia evaluada / Recaudo total de cartera de la vigencia evaluada) x 100</t>
  </si>
  <si>
    <t>Resultados financieros de la gestión del cobro de Cartera de la vigencia</t>
  </si>
  <si>
    <t xml:space="preserve">El proceso de generación de los ingresos propios comparativamente mostraron crecimiento con respecto a periodo(s) anterior(res) 
</t>
  </si>
  <si>
    <t>OTRAS ACTIVIDADES A EVALUAR</t>
  </si>
  <si>
    <t>MODELO DE DIAGNÓSTICO FINANCIERO</t>
  </si>
  <si>
    <t>MARGEN EBITDA</t>
  </si>
  <si>
    <t>(EBITDA / Ingresos operacionales) x 100</t>
  </si>
  <si>
    <t>Proporciona la capacidad de la empresa para generar efectivo por cada peso de ventas. Se utilizada para evaluar la rentabilidad de una empresa comparando sus ingresos con sus ganancias</t>
  </si>
  <si>
    <t>Eficiencia operativa enfocada a incrementar los ingresos y/o reducir los costos y gastos, derivado de las decisiones y estrategias implementadas por el sujeto de vigilancia y control fiscal para  generar flujo de caja suficiente para atender los compromisos de la operación; teniendo como referente el comportamiento de la(s) vigencia(s) anterior(es).</t>
  </si>
  <si>
    <t>Capital de Trabajo Neto Operativo KTNO</t>
  </si>
  <si>
    <t>(Inventarios + cuentas por cobrar (Clientes) – cuentas por pagar (Proveedores))</t>
  </si>
  <si>
    <t>Relaciona el comportamiento de los saldos de inventarios y cuentas por cobrar, con los registros de cuentas por pagar (Proveedores), para determinar la porción del flujo de caja que la empresa se apropia, con el fin de reponer el capital de trabajo.</t>
  </si>
  <si>
    <t>Eficiencia en la administración del capital de trabajo optimizando la generación del flujo de caja,  como resultado de la gestión del proceso productivo y niveles de ventas obtenidos en el periodo evaluado, en comparación con  la(s) vigencias(s) anterior(es), que le permita cumplir adecuadamente con sus compromisos adquiridos en su operación.</t>
  </si>
  <si>
    <t>Productividad del Capital de Trabajo-PKT</t>
  </si>
  <si>
    <t>(KTNO / Ingresos Operacionales)</t>
  </si>
  <si>
    <t>Representa los centavos de capital de trabajo que, por cada peso de ingresos operacionales debe retener la empresa para operar</t>
  </si>
  <si>
    <t>Palanca de Crecimiento – PDC</t>
  </si>
  <si>
    <t>Margen EBITDA/PKT</t>
  </si>
  <si>
    <t>Pretende establecer si es o no conveniente que la empresa crezca. Mientras mayor sea el resultado, más atractivo es el crecimiento para la compañía.</t>
  </si>
  <si>
    <t>Estructura de Caja</t>
  </si>
  <si>
    <t>EBITDA (-) Impuestos= Flujo de Caja Bruto (-) Variación KTNO (-) Intereses (-) Dividendos = Disponible para inversión y abono a capital</t>
  </si>
  <si>
    <t>Permite determinar el efecto que, sobre la caja disponible para inversión y abono a capital de la deuda, se produce como consecuencia de la Estructura Operativa y la Estructura Financiera que la empresa mantiene para operar.</t>
  </si>
  <si>
    <t xml:space="preserve">Múltiplo de Deuda </t>
  </si>
  <si>
    <t xml:space="preserve">(Deuda Financiera Total / EBITDA) </t>
  </si>
  <si>
    <t>Permite establecer el riesgo financiero que asume la empresa al obtener un importante monto de deuda frente a la capacidad que tiene para cumplir el pago del capital (saldo total de la deuda) con su flujo de caja.</t>
  </si>
  <si>
    <t xml:space="preserve">Riesgo financiero en relación con la(s) deuda(s) asumida(s), en proporción con las utilidades obtenidas (EBITDA) y la cantidad de recursos que se destinan al pago de intereses y amortización de capital, con el fujo de caja generado en la actividad operativa.  </t>
  </si>
  <si>
    <t>Incidencia de Intereses</t>
  </si>
  <si>
    <t>(Intereses / Flujo de Caja Bruto) x 100</t>
  </si>
  <si>
    <t>Proporción del Flujo de Caja Bruto de la entidad destinada al pago de intereses.</t>
  </si>
  <si>
    <t>Rentabilidad del Activo (ROA)</t>
  </si>
  <si>
    <t>(Utilidad neta / Activo total) x 100</t>
  </si>
  <si>
    <t>Expresa la rentabilidad económica de la empresa, independientemente de la forma en que se financie el activo (con recursos propios o recursos de terceros).</t>
  </si>
  <si>
    <t xml:space="preserve">Capacidad del sujeto de vigilancia y control fiscal para generar utilidades con el uso de los recursos invertidos y la eficiencia y efectividad en la administración y utilización de los activos productivos de la empresa. </t>
  </si>
  <si>
    <t>ASPECTOS DE CALIFICACIÓN APLICABLES</t>
  </si>
  <si>
    <t>Deuda Pública Interna y Externa</t>
  </si>
  <si>
    <t>La empresa evalúa su capacidad de endeudamiento antes de contraer las obligaciones de deuda y dicha capacidad fue calculada con variables reales.</t>
  </si>
  <si>
    <t>MANEJO DE DEUDA PÚBLICA (INTERNA Y EXTERNA)</t>
  </si>
  <si>
    <t>Capacidad de endeudamiento</t>
  </si>
  <si>
    <t>La capacidad de endeudamiento utilizado cumple con las políticas y directrices definidas por la alta dirección y/o Comité creado para su control y manejo, sin exceder los límites de endeudamiento definidos de acuerdo con la capacidad de pago.</t>
  </si>
  <si>
    <t xml:space="preserve">De acuerdo con el resultado que proporcionan las firmas calificadoras de riesgos crediticios, la compañía presenta capacidad suficiente para el nivel de endeudamiento efectuado en el periodo evaluado.   </t>
  </si>
  <si>
    <t>La entidad contaba con la capacidad de pago suficiente al momento de celebrar la nueva operación de crédito público, conforme a lo establecido por las normas vigentes.</t>
  </si>
  <si>
    <t xml:space="preserve">Nivel de endeudamiento público </t>
  </si>
  <si>
    <t>La entidad cumplió con todas las autorizaciones requeridas para efectuar el endeudamiento.</t>
  </si>
  <si>
    <t>La operación de crédito público efectuada fue acompañada de los documentos y soportes establecidos en las normas que regulan el tema.</t>
  </si>
  <si>
    <t xml:space="preserve">Los recursos obtenidos mediante la operación de crédito público se han destinado exclusivamente a la financiación de gastos de inversión. (con las excepciones que se aprueben a través de actas de Junta Directiva y/o Asamblea de Socios entre otras.  ) </t>
  </si>
  <si>
    <t>Servicio de la Deuda Pública</t>
  </si>
  <si>
    <t>La entidad cumple en forma oportuna con el pago de sus acreencias crediticias en la forma y termino pactados en los correspondiente contratos de endeudamiento.</t>
  </si>
  <si>
    <t xml:space="preserve"> Oportunidad en el pago de capital e intereses</t>
  </si>
  <si>
    <t>Los intereses y demás erogaciones relacionadas con costos financieros de la deuda, se liquidan y pagan conforme las tasas  pactadas.</t>
  </si>
  <si>
    <t>La entidad ha llevado a cabo renegociación de la deuda negociada en moneda extranjera, para mejorar las condiciones del crédito y hacer menos costoso el pago de intereses.</t>
  </si>
  <si>
    <t>La compañía a través del área competente, hace los análisis necesarios para establecer los excedentes de liquidez para llevar a cabo inversiones en títulos valores, para no afectar la disponibilidad de los recursos.</t>
  </si>
  <si>
    <t>MANEJO DE EXCEDENTES DE TESORERÍA</t>
  </si>
  <si>
    <t xml:space="preserve">Gestión de las inversiones en títulos valores </t>
  </si>
  <si>
    <t>Las operaciones de mercado secundario de valores fueron  efectuadas teniendo en cuenta los precios del mercado vigentes en la fecha en que se realizó la inversión financiera.</t>
  </si>
  <si>
    <t>La empresa realiza sus inversiones financieras solo en mercado de renta fija.</t>
  </si>
  <si>
    <t>Los rendimientos financieros procedentes del portafolio de inversiones son cobrados por la empresa dentro de los términos y condiciones pactados en la operación, se encuentran correctamente liquidados y se evidencia el respectivo registro contable.</t>
  </si>
  <si>
    <t>La empresa realiza en forma permanente el análisis de riesgos asociados a las operaciones financieras.</t>
  </si>
  <si>
    <t>Las inversiones financieras en títulos valores se efectúan en empresas vigiladas por la superintendencia financiera y calificadas con los máximos valores por las compañías calificadoras de riesgos.</t>
  </si>
  <si>
    <t>Desempeño financiero de la asignación de los recursos financieros producto de excedentes de tesorería o recursos disponibles que pueden ser invertidos en las diferentes modalidades de inversión financiera que realice la tesorería o la dependencia que haga sus veces (mesas de dinero) para obtener la mayor rentabilidad posible dentro de los menores rangos de riesgo existentes y maximizar los beneficios financieros.*</t>
  </si>
  <si>
    <t>Desempeño financiero de las inversiones constituidas en el país y en el exterior, donde el Distrito Capital tiene participación accionaria o patrimonial,   en términos del retorno de la inversión.</t>
  </si>
  <si>
    <t>DESEMPEÑO FINANCIERO DE LAS INVERSIONES ACCIONARIAS Y PATRIMONIALES</t>
  </si>
  <si>
    <t xml:space="preserve">Control y seguimiento de las inversiones accionarias y patrimoniales, en términos de eficiencia, que garanticen el retorno de la inversión.  </t>
  </si>
  <si>
    <t xml:space="preserve">La empresa realiza un control y seguimiento periódico y oportuno de la gestión y los resultados de las inversiones accionarias y patrimoniales, que garanticen el retorno de su inversión. </t>
  </si>
  <si>
    <t>Dividendos decretados y recibidos, frente a las capitalizaciones realizadas por la casa matriz, que proporcione un costo/beneficio.</t>
  </si>
  <si>
    <t>Balance Financiero de los préstamos otorgados y recibidos por la casa matriz (proporción de prestamos realizados Inter compañías).</t>
  </si>
  <si>
    <t xml:space="preserve">La empresa lleva a cabo los estudios y análisis económicos, financieros, de regulación, de mercado y técnicos, suficientes, antes de realizar las inversiones accionarias, para determinar de manera objetiva e idónea la situación financiera de la compañía en donde va a invertir. </t>
  </si>
  <si>
    <t xml:space="preserve">Se identifican previamente los riesgos que debe asumirse al realizar esta clase de inversiones  (económicos, financieros, de regulación, de mercado, técnicos y de toda índole).    </t>
  </si>
  <si>
    <t>* En las entidades que aplique</t>
  </si>
  <si>
    <t>En el caso de que se hayan dictaminado con opinión negativa o con abstención de opinión, NO habrá lugar a la evaluación de los indicadores financieros, deuda pública, inversiones en títulos valores e inversiones accionarias o patrimoniales. En este caso, los aspectos aplicables, se calificarán con cero (0)%.</t>
  </si>
  <si>
    <r>
      <t xml:space="preserve">El concepto sobre el desempeño financiero se fundamenta en el resultado de la aplicación e interpretación de los indicadores financieros, en términos de eficiencia y eficacia, para determinar </t>
    </r>
    <r>
      <rPr>
        <sz val="11"/>
        <color theme="1"/>
        <rFont val="Arial"/>
        <family val="2"/>
      </rPr>
      <t>el nivel de sostenibilidad y de crecimiento emp</t>
    </r>
    <r>
      <rPr>
        <sz val="11"/>
        <color rgb="FF000000"/>
        <rFont val="Arial"/>
        <family val="2"/>
      </rPr>
      <t>resa</t>
    </r>
    <r>
      <rPr>
        <sz val="11"/>
        <color theme="1"/>
        <rFont val="Arial"/>
        <family val="2"/>
      </rPr>
      <t>rial, orientado a maximizar el valor de la empresa y de sus accionistas</t>
    </r>
    <r>
      <rPr>
        <sz val="11"/>
        <color rgb="FF000000"/>
        <rFont val="Arial"/>
        <family val="2"/>
      </rPr>
      <t>; así mismo, establece</t>
    </r>
    <r>
      <rPr>
        <sz val="11"/>
        <color theme="1"/>
        <rFont val="Arial"/>
        <family val="2"/>
      </rPr>
      <t xml:space="preserve"> las debilidades en su situación financiera y operativa. Considera igualmente la eficacia en el </t>
    </r>
    <r>
      <rPr>
        <sz val="11"/>
        <color rgb="FF000000"/>
        <rFont val="Arial"/>
        <family val="2"/>
      </rPr>
      <t>manejo de la deuda pública, la administración de los excedentes financieros y el desempeño financiero y económico donde tiene participación accionaria y patrimonial.
Este instrumento a pesar de tener un alto contenido de información, exige una baja carga de registros, toda vez, que todos los campos están parametrizados, tal como se presenta a continuación:</t>
    </r>
  </si>
  <si>
    <t>Resultados de la evaluación del desempeño financiero</t>
  </si>
  <si>
    <t>En esta sección, el auditor según aplique, sólo deberá diligenciar las celdas pertinentes de las columnas F y M, relacionadas con los aspectos de los subprocesos:</t>
  </si>
  <si>
    <r>
      <t>·</t>
    </r>
    <r>
      <rPr>
        <sz val="7"/>
        <color theme="1"/>
        <rFont val="Times New Roman"/>
        <family val="1"/>
      </rPr>
      <t xml:space="preserve">         </t>
    </r>
    <r>
      <rPr>
        <sz val="11"/>
        <color theme="1"/>
        <rFont val="Arial"/>
        <family val="2"/>
      </rPr>
      <t>Indicadores financieros a partir de estados financieros</t>
    </r>
  </si>
  <si>
    <r>
      <t>·</t>
    </r>
    <r>
      <rPr>
        <sz val="7"/>
        <color theme="1"/>
        <rFont val="Times New Roman"/>
        <family val="1"/>
      </rPr>
      <t xml:space="preserve">         </t>
    </r>
    <r>
      <rPr>
        <sz val="11"/>
        <color theme="1"/>
        <rFont val="Arial"/>
        <family val="2"/>
      </rPr>
      <t>Deuda pública interna y externa y servicio de la deuda pública</t>
    </r>
  </si>
  <si>
    <r>
      <t>·</t>
    </r>
    <r>
      <rPr>
        <sz val="7"/>
        <color theme="1"/>
        <rFont val="Times New Roman"/>
        <family val="1"/>
      </rPr>
      <t xml:space="preserve">         </t>
    </r>
    <r>
      <rPr>
        <sz val="11"/>
        <color theme="1"/>
        <rFont val="Arial"/>
        <family val="2"/>
      </rPr>
      <t>Inversiones en títulos valores</t>
    </r>
  </si>
  <si>
    <r>
      <t>·</t>
    </r>
    <r>
      <rPr>
        <sz val="7"/>
        <color theme="1"/>
        <rFont val="Times New Roman"/>
        <family val="1"/>
      </rPr>
      <t xml:space="preserve">         </t>
    </r>
    <r>
      <rPr>
        <sz val="11"/>
        <color theme="1"/>
        <rFont val="Arial"/>
        <family val="2"/>
      </rPr>
      <t>Inversiones accionarias o patrimoniales</t>
    </r>
  </si>
  <si>
    <t>Los indicadores y análisis que no apliquen se dejaran con celda vacía, es decir no hay que registrar ningún dato.</t>
  </si>
  <si>
    <t>El auditor debe seleccionar aquellos indicadores y aspectos que de acuerdo con su experticia, sean pertinentes para efectuar la evaluación, según la naturaleza, características y misionalidad del sujeto de vigilancia y control fiscal. En consecuencia, el número y tipo de indicadores a utilizar son potestad del auditor, quien puede considerar elementos adicionales para la evaluación.</t>
  </si>
  <si>
    <t>Sujeto de Vigilancia y Control Fiscal:</t>
  </si>
  <si>
    <t>Fecha de revisión Líder:</t>
  </si>
  <si>
    <t>DATOS GENERALES:  EL auditor deberá diligenciar los datos generales del sujeto de control, PAD y de la auditoria Financiera y de Gestión a desarrollar, que se solicitan.</t>
  </si>
  <si>
    <t>INDICADORES</t>
  </si>
  <si>
    <t>Grado de ejecución del Ingreso</t>
  </si>
  <si>
    <t>(Valor del recaudo del periodo/Total recaudo programado en el mismo periodo) x100</t>
  </si>
  <si>
    <t>Indica el grado de recaudos de la vigencia.</t>
  </si>
  <si>
    <t>INDICADORES PRESUPUESTALES</t>
  </si>
  <si>
    <t xml:space="preserve">Gestión presupuestal de ingresos en relación con el nivel de recaudo (operacionales y no operacionales) en la vigencia evaluada, teniendo en cuenta el análisis comparativo con año(s) anteriores.  </t>
  </si>
  <si>
    <t>Nivel de desempeño presupuestal del ordenador del gasto en términos de eficacia.</t>
  </si>
  <si>
    <t>Grado de Ejecución del Gasto</t>
  </si>
  <si>
    <t>(Valor acumulado del gasto o compromisos suscritos/presupuesto definitivo en el periodo) x100</t>
  </si>
  <si>
    <t>Indica el porcentaje del presupuesto gastado o comprometido</t>
  </si>
  <si>
    <t xml:space="preserve">Gestión presupuestal de gastos (costos) que se relaciona con: Valor acumulado del gasto  o compromisos suscritos,. Teniendo en cuenta el análisis comparativo con año(s) anterior(es). </t>
  </si>
  <si>
    <t>Grado Ejecución de Giros</t>
  </si>
  <si>
    <t>(Valor total de pagos / valor total del presupuesto comprometido) x100</t>
  </si>
  <si>
    <t>Indica el porcentaje del presupuesto efectivamente pagado por compromisos adquiridos</t>
  </si>
  <si>
    <t xml:space="preserve">Gestión presupuestal de gastos (costos) que se relaciona con: Valor acumulado del presupuesto efectivamente pagado. Teniendo en cuenta el análisis comparativo con año(s) anterior(es). </t>
  </si>
  <si>
    <t xml:space="preserve">Grado ejecución de Reservas presupuestales u obligaciones/cuentas por pagar </t>
  </si>
  <si>
    <t>(valor total de pagos de reservas, obligaciones o cuentas por pagar realizados en el periodo / valor definitivo de reservas en el periodo) x100</t>
  </si>
  <si>
    <t>Indica el porcentaje del presupuesto de reservas u obligaciones efectivamente pagadas en el periodo</t>
  </si>
  <si>
    <t xml:space="preserve">Gestión presupuestal de gastos (costos) que se relaciona con: Valor acumulado de reservas u obligaciones constituidas al cierre de la vigencia (Acuerdo 5 de 1998 Concejo de Bogotá) pagadas durante la misma vigencia fiscal. Teniendo en cuenta el análisis comparativo con año(s) anterior(es). </t>
  </si>
  <si>
    <t xml:space="preserve">Ejecución de Vigencias Futuras </t>
  </si>
  <si>
    <t>(Valor de compromisos de vigencias futuras / Valor definitivo de vigencias futuras)x100</t>
  </si>
  <si>
    <t>Grados de compromisos de las vigencias futuras  en el periodo</t>
  </si>
  <si>
    <t xml:space="preserve">Gestión presupuestal de gastos (costos) que se relaciona con: Valor acumulado de Vigencias Futuras en la vigencia a auditar . Teniendo en cuenta el análisis comparativo con año(s) anterior(es) si las hubo. </t>
  </si>
  <si>
    <t xml:space="preserve">Grado de pagos de Vigencias Futuras </t>
  </si>
  <si>
    <t>(Valor de pagos o giros de vigencias futuras / Valor acumulado de compromisos de vigencias futuras)x100</t>
  </si>
  <si>
    <t>Grado de pagos de las vigencias futuras  en el periodo</t>
  </si>
  <si>
    <t xml:space="preserve">Gestión presupuestal de gastos (costos) que se relaciona con: Pagos efectivamente realizados de Vigencias Futuras en la vigencia a auditar.. Teniendo en cuenta el análisis comparativo con año(s) anterior(es) si las hubo. </t>
  </si>
  <si>
    <t>Reservas Constituidas de Inversión</t>
  </si>
  <si>
    <t>(valor total de las reservas constituidas por Inversión en el periodo / valor Ppto definitivo de Inversión del año anterior) x100</t>
  </si>
  <si>
    <t>Indica el porcentaje de reservas por presupuesto de funcionamiento e Inversión (Acuerdo 5 de 1998 Concejo de Bogotá)</t>
  </si>
  <si>
    <t xml:space="preserve">Gestión presupuestal de gastos (costos) que se relaciona con: Valor de las Reservas constituidas de la vigencia a auditar, teniendo en cuenta los requisitos de constitución y el monto limite establecido para funcionamiento e inversión en el Acuerdo 5 de 1998, Concejo de Bogotá. Teniendo en cuenta el análisis comparativo con año(s) anterior(es). </t>
  </si>
  <si>
    <t>Reservas Constituidas de Funcionamiento</t>
  </si>
  <si>
    <t>(valor total de las reservas constituidas por Funcionamiento en el periodo / valor Ppto definitivo de Funcionamiento del año anterior) x100</t>
  </si>
  <si>
    <t>Grado Pagos Pasivos exigibles</t>
  </si>
  <si>
    <t>(valor total depuración,liberaciones, liquidación y pagos realizados en el periodo Pasivos exigibles / valor total Pasivos exigibles) x100</t>
  </si>
  <si>
    <t>Indica el porcentaje de pagos realizados en la depuración de pasivos exigibles</t>
  </si>
  <si>
    <t xml:space="preserve">Gestión presupuestal de gastos (costos) que se relaciona con: La Gestión presupuestal de depuración de los Pasivos Exigibles en la vigencia a auditar. Teniendo en cuenta el análisis comparativo con año(s) anterior(es). </t>
  </si>
  <si>
    <t>Representación Modificaciones Presupuestales</t>
  </si>
  <si>
    <t>(valor total modificaciones presupuestales/ valor total presupuesto definitivo) x100</t>
  </si>
  <si>
    <t>Indica el porcentaje del presupuesto que fue modificado</t>
  </si>
  <si>
    <t xml:space="preserve">Presupuesto modificado (ingresos, gastos y costos) en la vigencia evaluada, realizado(s) mediante acto administrativo (aprobación en Junta Directiva), con las respectivas justificaciones, en términos del principio de eficacia presupuestal.    </t>
  </si>
  <si>
    <t>Eficacia en el recaudo</t>
  </si>
  <si>
    <t>(Total rentas pendientes de cobro en el periodo / Total rentas recaudadas en el periodo)</t>
  </si>
  <si>
    <t>Refleja el comportamiento del recaudo, es decir, la estricta y exacta gestión para el cobro y la recuperación de los impuestos y la calidad del proceso de cobro.</t>
  </si>
  <si>
    <t>EFICACIA Y CRECIMIENTO DEL RECAUDO</t>
  </si>
  <si>
    <r>
      <rPr>
        <b/>
        <sz val="10"/>
        <color indexed="8"/>
        <rFont val="Arial"/>
        <family val="2"/>
      </rPr>
      <t>Eficacia y crecimiento del recaudo:</t>
    </r>
    <r>
      <rPr>
        <sz val="10"/>
        <color indexed="8"/>
        <rFont val="Arial"/>
        <family val="2"/>
      </rPr>
      <t xml:space="preserve"> Gestión del recaudo producto del crecimiento en las rentas por cobrar, para satisfacer las necesidades de la comunidad, en términos de eficiencia y eficacia.</t>
    </r>
  </si>
  <si>
    <t>Nivel de desempeño presupuestal del ordenador del gasto en términos de eficiencia.</t>
  </si>
  <si>
    <r>
      <rPr>
        <b/>
        <sz val="11"/>
        <color rgb="FF000000"/>
        <rFont val="Arial"/>
        <family val="2"/>
      </rPr>
      <t>INDICADORES A PARTIR DE INFORMES DE EJECUCIÓN PRESUPUESTAL PARA OPINIÓN PRESUPUESTAL</t>
    </r>
    <r>
      <rPr>
        <sz val="11"/>
        <color indexed="8"/>
        <rFont val="Arial"/>
        <family val="2"/>
      </rPr>
      <t xml:space="preserve">
</t>
    </r>
    <r>
      <rPr>
        <b/>
        <sz val="11"/>
        <color rgb="FF000000"/>
        <rFont val="Arial"/>
        <family val="2"/>
      </rPr>
      <t xml:space="preserve">INSTRUCCIONES:
</t>
    </r>
    <r>
      <rPr>
        <sz val="11"/>
        <color rgb="FF000000"/>
        <rFont val="Arial"/>
        <family val="2"/>
      </rPr>
      <t>Para cada indicador según sea aplicable al Sujeto de Control auditado, registre en la columna "</t>
    </r>
    <r>
      <rPr>
        <sz val="11"/>
        <color indexed="8"/>
        <rFont val="Arial"/>
        <family val="2"/>
      </rPr>
      <t>RESULTADOS DE LA APLICACIÓN DE LA FORMULA" el resultado u operación que calcule la formula del indicador no requiere aplicar formato a la celda ya esta configurado como porcentaje, automáticamente la calificación correspondiente se reflejara en la última columna que ya se encuentra formulada de acuerdo con el indicador reportado y su interpretación correspondiente</t>
    </r>
  </si>
  <si>
    <r>
      <rPr>
        <b/>
        <sz val="11"/>
        <color rgb="FF000000"/>
        <rFont val="Arial"/>
        <family val="2"/>
      </rPr>
      <t>Nota1</t>
    </r>
    <r>
      <rPr>
        <sz val="11"/>
        <color indexed="8"/>
        <rFont val="Arial"/>
        <family val="2"/>
      </rPr>
      <t>: Deje en blanco las celdas de los indicadores no aplicables y/o no auditados</t>
    </r>
  </si>
  <si>
    <t>Condición o Situación encontrada
(Texto)</t>
  </si>
  <si>
    <r>
      <t xml:space="preserve">Tipo de Incorrección o Imposibilidad
</t>
    </r>
    <r>
      <rPr>
        <sz val="11"/>
        <color theme="0"/>
        <rFont val="Arial"/>
        <family val="2"/>
      </rPr>
      <t>(lista desplegable)</t>
    </r>
  </si>
  <si>
    <r>
      <t xml:space="preserve">Clasificación presupuestal
</t>
    </r>
    <r>
      <rPr>
        <sz val="10"/>
        <color theme="0"/>
        <rFont val="Arial"/>
        <family val="2"/>
      </rPr>
      <t>(lista desplegable)</t>
    </r>
  </si>
  <si>
    <r>
      <t xml:space="preserve">Rubro o Aspecto Presupuestal
</t>
    </r>
    <r>
      <rPr>
        <sz val="10"/>
        <color theme="0"/>
        <rFont val="Arial"/>
        <family val="2"/>
      </rPr>
      <t>(Código - Nombre)</t>
    </r>
  </si>
  <si>
    <r>
      <t xml:space="preserve">Origen o Causa
</t>
    </r>
    <r>
      <rPr>
        <sz val="10"/>
        <color theme="0"/>
        <rFont val="Arial"/>
        <family val="2"/>
      </rPr>
      <t>(lista desplegable)</t>
    </r>
  </si>
  <si>
    <r>
      <t xml:space="preserve">Principio Presupuestal afectado
</t>
    </r>
    <r>
      <rPr>
        <sz val="10"/>
        <color theme="0"/>
        <rFont val="Arial"/>
        <family val="2"/>
      </rPr>
      <t>(lista desplegable)</t>
    </r>
  </si>
  <si>
    <r>
      <t xml:space="preserve">Valor de la Incorrección o Imposibilidad
</t>
    </r>
    <r>
      <rPr>
        <sz val="10"/>
        <color theme="0"/>
        <rFont val="Arial"/>
        <family val="2"/>
      </rPr>
      <t>( Valores en pesos)</t>
    </r>
  </si>
  <si>
    <t>Porcentaje (% ) de hallazgo o salvedad respecto a la cuenta presupuestal</t>
  </si>
  <si>
    <r>
      <t xml:space="preserve">Resumen de la Observación o Hallazgo
</t>
    </r>
    <r>
      <rPr>
        <sz val="11"/>
        <color theme="0"/>
        <rFont val="Arial"/>
        <family val="2"/>
      </rPr>
      <t>(texto)</t>
    </r>
  </si>
  <si>
    <t>Efecto en caso de incorrección o 
posible efecto en caso de imposibilidad 
(texto)</t>
  </si>
  <si>
    <t>Presunta
 incidencia</t>
  </si>
  <si>
    <t>Numeral del hallazgo(s) en Informe Final</t>
  </si>
  <si>
    <t>Referencia P/T</t>
  </si>
  <si>
    <t>Auditada la información reportada por la SDH en el aplicativo SIVICOF y a través de la comunicación 2022EE017534O1 del 21/01/2022, se compararon las cifras referentes al recaudo de los Ingresos Tributarios correspondientes a la vigencia 2021, encontrando inconsistencias en los valores reportados</t>
  </si>
  <si>
    <t>Imposibilidades en el Informe de Ejecución de Ingresos</t>
  </si>
  <si>
    <t>O12-RECURSOS DE CAPITAL</t>
  </si>
  <si>
    <t>Falta de gestión</t>
  </si>
  <si>
    <t>Anualidad</t>
  </si>
  <si>
    <t>Hallazgo Administrativo por presentar inconsistencias en la información reportada en el SIVICOF respecto del recaudo de los ingresos tributarios</t>
  </si>
  <si>
    <t>3.3.4.1</t>
  </si>
  <si>
    <t>Como se observa en el Cuadro comparativo, entre el presupuesto disponible y el PAA, existen diferencias en las cifras, lo cual denota falta de coordinación entre las áreas que planean y ejecutan. Así mismo, en el manejo de los rubros antes mencionados, existen debilidades en la planeación, programación y ejecución del  Plan  Anual de Adquisiciones-PAA, en razón a que, el presupuesto planeado y aprobado presenta diferencias considerables con respecto a lo ejecutado en su PAA.</t>
  </si>
  <si>
    <t>Imposibilidades en el Informe de Ejecución de Gastos</t>
  </si>
  <si>
    <t>Planificación</t>
  </si>
  <si>
    <t>Hallazgo Administrativo por la inadecuada programación en el manejo de los rubros de los gastos de funcionamiento y deficiencias en la Planeación del Plan Anual de Adquisiciones - PAA, de la Unidad Ejecutora 1.</t>
  </si>
  <si>
    <t xml:space="preserve">3.3.4.2 </t>
  </si>
  <si>
    <t>Entre el presupuesto disponible y el PAA, existen diferencias en las cifras, lo cual denota falta de coordinación entre las áreas que planean y ejecutan. Así mismo, en el manejo de los rubros antes mencionados, existen debilidades en la planeación, programación y ejecución del PAA, en razón a que, el presupuesto planeado y aprobado presenta diferencias considerables con respecto a lo ejecutado en su PAA.</t>
  </si>
  <si>
    <t>Imposibilidades en el informe de Vigencias Futuras</t>
  </si>
  <si>
    <t>Programación integral</t>
  </si>
  <si>
    <t>Hallazgo Administrativo con presunta incidencia disciplinaria por no iniciar a partir del 01/01/2021 con el mismo registro de las reservas constituidas al cierre de la vigencia 31/12/2020 y por presentar inconsistencias en la información reportada en el Acta de Fenecimiento pasivos exigibles No. 1, Rubro de Funcionamiento del 31 de diciembre de 2021</t>
  </si>
  <si>
    <t>Con Posible Incidencia Disciplinaria</t>
  </si>
  <si>
    <t>3.3.4.3</t>
  </si>
  <si>
    <t>Del análisis realizado a los pasivos exigibles, en la información allegada a través de la respuesta 2022EE017534O1 del 21/01/2022, se encontraron inconsistencias, contraviniendo lo estipulado en el instructivo para diligenciar el formato CB-0002 - PASIVOS EXIGIBLES AL CIERRE DE LA VIGENCIA, de la Contraloría de Bogotá D.C. que indica: “Pasivos exigibles al cierre de la vigencia debe contener la relación de los compromisos presupuestales suscritos en vigencias anteriores y que a diciembre 31 de la vigencia actual presentan saldo por ejecutar y/o pagar”. En razón, que no coinciden las cifras reportadas en el acta de fenecimiento No. 01 del 31/12/2021, con las auditadas,</t>
  </si>
  <si>
    <t>Incorrección en el informe de Ejecución de Obligaciones por pagar de la vigencia auditar</t>
  </si>
  <si>
    <t>Universalidad</t>
  </si>
  <si>
    <t>Hallazgo Administrativo con presunta incidencia disciplinaria por superar los porcentajes permitidos en la constitución de las reservas presupuestales a 31/12/2021.</t>
  </si>
  <si>
    <t xml:space="preserve">3.3.4.4 </t>
  </si>
  <si>
    <t>Verificada, la constitución de las reservas presupuestales de la SDH para las Unidades Ejecutoras 01 y 04, se evidenció que por Gastos de Funcionamiento suman $19.003.359.797 equivalente al 7,0% y por inversión $19,783,635,999 correspondiente al 37,13% del presupuesto definitivo de la vigencia 2021.</t>
  </si>
  <si>
    <t>Incorrección en el informe de Pasivos Exigibles</t>
  </si>
  <si>
    <t>Hallazgo Administrativo por aumento en la constitución de Cuentas por Pagar de las unidades ejecutoras 01, 02 y 04, a diciembre 31 de 2021.</t>
  </si>
  <si>
    <t xml:space="preserve">3.3.4.6 </t>
  </si>
  <si>
    <t>xxxxxx</t>
  </si>
  <si>
    <t>Incorrección en el informe de Vigencias Futuras</t>
  </si>
  <si>
    <t>Falta de soportes</t>
  </si>
  <si>
    <t>Coherencia Macroeconómica</t>
  </si>
  <si>
    <t>xcc</t>
  </si>
  <si>
    <t>Con Posible Incidencia Disciplinaria y Penal</t>
  </si>
  <si>
    <t>Incorrección en el informe de Ejecución de Cuentas por Pagar de la vigencia auditar</t>
  </si>
  <si>
    <t>Inconsistencia en los informes</t>
  </si>
  <si>
    <t>Con Posible Incidencia Penal</t>
  </si>
  <si>
    <t>Incorrección en el informe de Ejecución de Reservas Costituidas por pagar de la vigencia anterior</t>
  </si>
  <si>
    <t>Diferencias en registro</t>
  </si>
  <si>
    <t>Unidad de caja</t>
  </si>
  <si>
    <t>nnnn</t>
  </si>
  <si>
    <t>n</t>
  </si>
  <si>
    <t>Totales</t>
  </si>
  <si>
    <r>
      <rPr>
        <b/>
        <sz val="11"/>
        <color theme="1"/>
        <rFont val="Arial"/>
        <family val="2"/>
      </rPr>
      <t>Nota 1:</t>
    </r>
    <r>
      <rPr>
        <sz val="11"/>
        <color theme="1"/>
        <rFont val="Arial"/>
        <family val="2"/>
      </rPr>
      <t xml:space="preserve"> Insertar tantas filas con los desplegables acorde a los resultados de la auditoría</t>
    </r>
  </si>
  <si>
    <r>
      <t xml:space="preserve">Nota1: </t>
    </r>
    <r>
      <rPr>
        <sz val="11"/>
        <color theme="1"/>
        <rFont val="Arial"/>
        <family val="2"/>
      </rPr>
      <t xml:space="preserve">Deje en blanco las celdas de las cuentas o rubros presupuestales no auditados
</t>
    </r>
    <r>
      <rPr>
        <b/>
        <sz val="11"/>
        <color theme="1"/>
        <rFont val="Arial"/>
        <family val="2"/>
      </rPr>
      <t xml:space="preserve">Nota 2: </t>
    </r>
    <r>
      <rPr>
        <sz val="11"/>
        <color theme="1"/>
        <rFont val="Arial"/>
        <family val="2"/>
      </rPr>
      <t>En el valor de las inconsistencias de la cuenta principal de Gastos no incluya el correspondiente a las otras cuentas de gastos o aspectos auditados y registrados en este cuadro</t>
    </r>
  </si>
  <si>
    <t>INCORRECCIONES EVIDENCIADAS</t>
  </si>
  <si>
    <t>IMPOSIBILIDADES PRESENTADAS</t>
  </si>
  <si>
    <t>CALIFICACION POR INDICADORES Y HALLAZGOS POR PRINCIPIO</t>
  </si>
  <si>
    <t>Respecto al agregado por valor: Número de veces en que las incorrecciones de los Rubros sobrepasan el valor de la materialidad?</t>
  </si>
  <si>
    <t>Respecto al agregado por valor: Número de veces en que las imposibilidades de los Rubros sobrepasan el valor de la materialidad?</t>
  </si>
  <si>
    <t>CLASIFICACIÓN PRESUPUESTAL</t>
  </si>
  <si>
    <t>AFECTACIÓN DE HALLAZGOS</t>
  </si>
  <si>
    <t>RESULTADO
con Afectación de Hallazgos</t>
  </si>
  <si>
    <t>Número de INCORRECCIONES en función a la Materialidad
(En función al valor)</t>
  </si>
  <si>
    <t>Número de INCORRECCIONES en función a la Materialidad
(En %)</t>
  </si>
  <si>
    <t>Número de IMPOSIBILIDADES en función a la Materialidad
(En función al valor)</t>
  </si>
  <si>
    <t>Número de 
IMPOSIBILIDADES en función a la Materialidad
(En %)</t>
  </si>
  <si>
    <t>Número de INCORRECCIONES+
IMPOSIBILIDADES en función a la Materialidad
(En función al valor)</t>
  </si>
  <si>
    <t>Número de INCORRECCIONES+
IMPOSIBILIDADES en función a la Materialidad
(En %)</t>
  </si>
  <si>
    <t>Con Incidencia Fiscal</t>
  </si>
  <si>
    <t>Con Incidencia Fiscal y posible Disciplinaria</t>
  </si>
  <si>
    <t xml:space="preserve">TOTALES </t>
  </si>
  <si>
    <r>
      <t xml:space="preserve">Nota1: </t>
    </r>
    <r>
      <rPr>
        <sz val="11"/>
        <color theme="1"/>
        <rFont val="Arial"/>
        <family val="2"/>
      </rPr>
      <t>Seleccione de la columna "AFECTACIÓN DE HALLAZGOS" el tipo de hallazgo determinado en cada cuenta, rubro o aspecto presupuestal auditado o si no tuvo hallazgos, deje en blanco las celdas de las cuentas, rubros o aspectos presupuestales no aplicables o no auditados</t>
    </r>
    <r>
      <rPr>
        <b/>
        <sz val="11"/>
        <color theme="1"/>
        <rFont val="Arial"/>
        <family val="2"/>
      </rPr>
      <t xml:space="preserve">. </t>
    </r>
    <r>
      <rPr>
        <sz val="11"/>
        <color theme="1"/>
        <rFont val="Arial"/>
        <family val="2"/>
      </rPr>
      <t>Los demás cálculos son automáticos</t>
    </r>
  </si>
  <si>
    <t>CONSOLIDADO</t>
  </si>
  <si>
    <t>INDICE PREDOMINATE ENTRE INGRESOS Y GASTOS / NUMERO DE INCORRECCIONES + IMPOSIBILIDADES</t>
  </si>
  <si>
    <r>
      <rPr>
        <sz val="11"/>
        <color theme="1"/>
        <rFont val="Arial"/>
        <family val="2"/>
      </rPr>
      <t xml:space="preserve">LAS INCORRECCIONES + IMPOSIBILIDADES SON </t>
    </r>
    <r>
      <rPr>
        <b/>
        <sz val="11"/>
        <color theme="1"/>
        <rFont val="Arial"/>
        <family val="2"/>
      </rPr>
      <t>NO MATERIALES</t>
    </r>
  </si>
  <si>
    <r>
      <rPr>
        <sz val="11"/>
        <color theme="1"/>
        <rFont val="Arial"/>
        <family val="2"/>
      </rPr>
      <t>LAS INCORRECCIONES + IMPOSIBILIDADES SON</t>
    </r>
    <r>
      <rPr>
        <b/>
        <sz val="11"/>
        <color theme="1"/>
        <rFont val="Arial"/>
        <family val="2"/>
      </rPr>
      <t xml:space="preserve"> MATERIALES</t>
    </r>
  </si>
  <si>
    <r>
      <rPr>
        <sz val="11"/>
        <color theme="1"/>
        <rFont val="Arial"/>
        <family val="2"/>
      </rPr>
      <t>LAS INCORRECCIONES + IMPOSIBILIDADES SON</t>
    </r>
    <r>
      <rPr>
        <b/>
        <sz val="11"/>
        <color theme="1"/>
        <rFont val="Arial"/>
        <family val="2"/>
      </rPr>
      <t xml:space="preserve"> MATERIALES GENERALIZADAS</t>
    </r>
  </si>
  <si>
    <t>SI LAS INCORRECCIONES + LAS IMPOSIBILIDADES SON MATERIALES Y GENERALIZADAS, ESTABLECER CUALES SON PREDOMINANTES</t>
  </si>
  <si>
    <t>Sección Informativa que no requiere ningún diligenciamiento</t>
  </si>
  <si>
    <t>CONCEPTO CONSOLIDADO</t>
  </si>
  <si>
    <t>CALIFICACION CONSOLIDADA</t>
  </si>
  <si>
    <t>Puntaje asignado de acuerdo con la opinión.</t>
  </si>
  <si>
    <r>
      <t>NO MATERIAL</t>
    </r>
    <r>
      <rPr>
        <sz val="11"/>
        <color indexed="8"/>
        <rFont val="Arial"/>
        <family val="2"/>
      </rPr>
      <t xml:space="preserve"> 
Menores a 1 vez la materialidad establecida para el total de los Rubros del Ingreso o los Rubos de Gastos.</t>
    </r>
  </si>
  <si>
    <r>
      <t>NO MATERIAL</t>
    </r>
    <r>
      <rPr>
        <sz val="11"/>
        <color indexed="8"/>
        <rFont val="Arial"/>
        <family val="2"/>
      </rPr>
      <t xml:space="preserve"> 
Menores a 1 vez la materialidad establecida para del Los Rubros de Ingresos o los Rubros de Gastos.</t>
    </r>
  </si>
  <si>
    <r>
      <t>NO MATERIAL</t>
    </r>
    <r>
      <rPr>
        <sz val="11"/>
        <color indexed="8"/>
        <rFont val="Arial"/>
        <family val="2"/>
      </rPr>
      <t xml:space="preserve"> 
Menores a 1 vez la materialidad establecida para el total de LOS Rubros de Ingresos o los Rubros de Gastos.</t>
    </r>
  </si>
  <si>
    <r>
      <t xml:space="preserve">MATERIAL 
</t>
    </r>
    <r>
      <rPr>
        <sz val="11"/>
        <color indexed="8"/>
        <rFont val="Arial"/>
        <family val="2"/>
      </rPr>
      <t>Mayor a 1 Vez y menor a 5 veces la materialidad establecida para el total de los Rubros de Ingresos o de los Rubros de Gastos</t>
    </r>
  </si>
  <si>
    <r>
      <t xml:space="preserve">MATERIAL 
</t>
    </r>
    <r>
      <rPr>
        <sz val="11"/>
        <color indexed="8"/>
        <rFont val="Arial"/>
        <family val="2"/>
      </rPr>
      <t>Mayor a 1 Vez y menor a 5 veces la materialidad establecida para el total de los Rubros de Ingresos o de los Gastos</t>
    </r>
  </si>
  <si>
    <r>
      <t xml:space="preserve">MATERIAL 
</t>
    </r>
    <r>
      <rPr>
        <sz val="11"/>
        <color indexed="8"/>
        <rFont val="Arial"/>
        <family val="2"/>
      </rPr>
      <t>Mayor a 1 Vez y menor a 5 veces la materialidad establecida para el total de los Rubros de Ingresos o de Gastos</t>
    </r>
  </si>
  <si>
    <r>
      <rPr>
        <b/>
        <sz val="11"/>
        <color indexed="8"/>
        <rFont val="Arial"/>
        <family val="2"/>
      </rPr>
      <t>MATERIAL GENERALIZADA</t>
    </r>
    <r>
      <rPr>
        <sz val="11"/>
        <color indexed="8"/>
        <rFont val="Arial"/>
        <family val="2"/>
      </rPr>
      <t xml:space="preserve">
Mayor o igual a 5 veces la materialidad establecida para el total de los Rubros de Ingresos o de los Rubros de Gastos</t>
    </r>
  </si>
  <si>
    <r>
      <rPr>
        <b/>
        <sz val="11"/>
        <color indexed="8"/>
        <rFont val="Arial"/>
        <family val="2"/>
      </rPr>
      <t>MATERIAL GENERALIZADA</t>
    </r>
    <r>
      <rPr>
        <sz val="11"/>
        <color indexed="8"/>
        <rFont val="Arial"/>
        <family val="2"/>
      </rPr>
      <t xml:space="preserve">
Mayor o igual a 5 veces la materialidad establecida para el total de los Rubros de Ingresos o los Rubros de Gastos</t>
    </r>
  </si>
  <si>
    <r>
      <rPr>
        <b/>
        <sz val="11"/>
        <color indexed="8"/>
        <rFont val="Arial"/>
        <family val="2"/>
      </rPr>
      <t>MATERIAL GENERALIZADA</t>
    </r>
    <r>
      <rPr>
        <sz val="11"/>
        <color indexed="8"/>
        <rFont val="Arial"/>
        <family val="2"/>
      </rPr>
      <t xml:space="preserve">
Mayor o Igual a 5 veces la materialidad establecida para el total de los Rubros de Ingresos o de Gastos</t>
    </r>
  </si>
  <si>
    <r>
      <rPr>
        <b/>
        <sz val="11"/>
        <color indexed="8"/>
        <rFont val="Arial"/>
        <family val="2"/>
      </rPr>
      <t xml:space="preserve">MATERIAL GENERALIZADA
</t>
    </r>
    <r>
      <rPr>
        <sz val="11"/>
        <color indexed="8"/>
        <rFont val="Arial"/>
        <family val="2"/>
      </rPr>
      <t>Mayor o igual a 5 veces la materilidad establecidad para el total de Los Rubros de Ingresos o los Rubros de Gastos, siempre y cuando el numero de veces de las imposibilidades supere el nuemero de veces de las incorrecciones incorrecciones.</t>
    </r>
  </si>
  <si>
    <t>Nombre</t>
  </si>
  <si>
    <t>Personal de Apoyo</t>
  </si>
  <si>
    <t>Observaciones del Líder</t>
  </si>
  <si>
    <t>% Materialidad con Concepto Vig Anterior</t>
  </si>
  <si>
    <t>% Materialidad sin Concepto Vig Anterior</t>
  </si>
  <si>
    <t>Tipo de Incorrección o Imposibilidad
(lista desplegable)</t>
  </si>
  <si>
    <r>
      <t xml:space="preserve">Clasificación presupuestal
</t>
    </r>
    <r>
      <rPr>
        <sz val="11"/>
        <color indexed="8"/>
        <rFont val="Arial"/>
        <family val="2"/>
      </rPr>
      <t>(lista desplegable)</t>
    </r>
  </si>
  <si>
    <r>
      <t xml:space="preserve">Origen o Causa
</t>
    </r>
    <r>
      <rPr>
        <sz val="11"/>
        <color indexed="8"/>
        <rFont val="Arial"/>
        <family val="2"/>
      </rPr>
      <t>(lista desplegable)</t>
    </r>
  </si>
  <si>
    <r>
      <t xml:space="preserve">Tipo de Hallazgo
</t>
    </r>
    <r>
      <rPr>
        <sz val="11"/>
        <color theme="1"/>
        <rFont val="Arial"/>
        <family val="2"/>
      </rPr>
      <t>(lista desplegable)</t>
    </r>
  </si>
  <si>
    <r>
      <t xml:space="preserve">Principios
</t>
    </r>
    <r>
      <rPr>
        <sz val="11"/>
        <color theme="1"/>
        <rFont val="Arial"/>
        <family val="2"/>
      </rPr>
      <t>(lista desplegable)</t>
    </r>
  </si>
  <si>
    <t>Afectación por Tipo de Hallazgo</t>
  </si>
  <si>
    <t>Entidades del sector central: Secretaria de Despacho, Secretaría Distrital de Hacienda; Unidades Administrativas,Departamentos Administrativos. Así como Establecimientos Públicos, Universidad Distrital Francisco José de Caldas, Fondos financiero de salud, y Fondos de Desarrollo local -FDL</t>
  </si>
  <si>
    <t>Entidades del sector descentralizado: Empresas Industriales y Comerciales, Empresas Sociales del Estado</t>
  </si>
  <si>
    <t>Falta de registros</t>
  </si>
  <si>
    <t>Sin Hallazgos</t>
  </si>
  <si>
    <t>CÓDIGO INGRESOS</t>
  </si>
  <si>
    <t>Imposibilidades en el informe de Ejecución de Cuentas por Pagar de la vigencia auditar</t>
  </si>
  <si>
    <t>O1</t>
  </si>
  <si>
    <t>X</t>
  </si>
  <si>
    <t>Incorrección en el informe de Ejecución de Cuentas por Pagar de la vigencia anterior</t>
  </si>
  <si>
    <t>O10</t>
  </si>
  <si>
    <t>DISPONIBILIDAD INICIAL</t>
  </si>
  <si>
    <t>PREDOMINA INCORRECCIONES</t>
  </si>
  <si>
    <t>Imposibilidades en el informe de Ejecución de Cuentas por Pagar de la vigencia anterior</t>
  </si>
  <si>
    <t>O1002</t>
  </si>
  <si>
    <t>Bancos</t>
  </si>
  <si>
    <t>Incorrección en el Informe de Ejecución de Gastos</t>
  </si>
  <si>
    <t xml:space="preserve">Falta de Controles </t>
  </si>
  <si>
    <t>O1003</t>
  </si>
  <si>
    <t>Inversiones Temporales</t>
  </si>
  <si>
    <t>PREDOMINA IMPOSIBILIDADES</t>
  </si>
  <si>
    <t>Especialización</t>
  </si>
  <si>
    <t>O11</t>
  </si>
  <si>
    <t>INGRESOS CORRIENTES</t>
  </si>
  <si>
    <t>Incorrección en el informe de Ejecución de Reservas Costituidas por pagar de la vigencia auditar</t>
  </si>
  <si>
    <t>Incumplimiento Normativos - Procedimientos</t>
  </si>
  <si>
    <t>O1101</t>
  </si>
  <si>
    <t>Tributarios</t>
  </si>
  <si>
    <t>Imposibilidades en el informe de Ejecución de Reservas Costituidas por pagar de la vigencia auditar</t>
  </si>
  <si>
    <t>Información no disponible</t>
  </si>
  <si>
    <t>Con Incidencia Fiscal y posible Penal</t>
  </si>
  <si>
    <t>Sostenibilidad y Estabilidad Fiscal</t>
  </si>
  <si>
    <t>O1102</t>
  </si>
  <si>
    <t>No Tributarios</t>
  </si>
  <si>
    <t>Información no verificable</t>
  </si>
  <si>
    <t>Con Incidencia Fiscal y posible Disciplinaria y Penal</t>
  </si>
  <si>
    <t>Inembargabilidad</t>
  </si>
  <si>
    <t>O12</t>
  </si>
  <si>
    <t>RECURSOS DE CAPITAL</t>
  </si>
  <si>
    <t>Imposibilidades en el informe de Ejecución de Obligaciones por pagar de la vigencia auditar</t>
  </si>
  <si>
    <t>Diferencias en cifras</t>
  </si>
  <si>
    <t>Autonomia presupuestal</t>
  </si>
  <si>
    <t>O1201</t>
  </si>
  <si>
    <t>Disposición de activos</t>
  </si>
  <si>
    <t>Bajo Recaudo</t>
  </si>
  <si>
    <t>Legalidad</t>
  </si>
  <si>
    <t>O1202</t>
  </si>
  <si>
    <t>Excedentes financieros</t>
  </si>
  <si>
    <t>114 - Secretaría Distrital de Salud – SDS y 201 - Fondo Financiero Distrital de Salud – FFDS</t>
  </si>
  <si>
    <t>Imposibilidades en el informe de Ejecución de Reservas Costituidas por pagar de la vigencia anterior</t>
  </si>
  <si>
    <t>Recaudo Inoportuno</t>
  </si>
  <si>
    <t>O1203</t>
  </si>
  <si>
    <t>Dividendos y utilidades por otras Inversiones de CAPITAL</t>
  </si>
  <si>
    <t>Incorrección en el informe de Ejecución de Obligaciones por pagar de la vigencia anterior</t>
  </si>
  <si>
    <t>Recaudo no programado</t>
  </si>
  <si>
    <t>O1205</t>
  </si>
  <si>
    <t>Rendimientos financieros</t>
  </si>
  <si>
    <t>Imposibilidades en el informe de Ejecución de Obligaciones por pagar de la vigencia anterior</t>
  </si>
  <si>
    <t>Registros en Rubro no pertinente</t>
  </si>
  <si>
    <t>O1206</t>
  </si>
  <si>
    <t>RECURSOS de crédito externo</t>
  </si>
  <si>
    <t>Inconsistencia de cantidad</t>
  </si>
  <si>
    <t>O1207</t>
  </si>
  <si>
    <t>RECURSOS de crédito interno</t>
  </si>
  <si>
    <t>Imposibilidades en el informe de Pasivos Exigibles</t>
  </si>
  <si>
    <t>Inconsistencia por clasificación</t>
  </si>
  <si>
    <t>O1208</t>
  </si>
  <si>
    <t>Transferencias de CAPITAL</t>
  </si>
  <si>
    <t>Incorrección en el Informe de Ejecución de GASTOS de Funcionamiento</t>
  </si>
  <si>
    <t>Baja Ejecución</t>
  </si>
  <si>
    <t>O1209</t>
  </si>
  <si>
    <t>Recuperación de cartera</t>
  </si>
  <si>
    <t>Imposibilidades en el Informe de Ejecución de GASTOS de Funcionamiento</t>
  </si>
  <si>
    <t>Incumplimiento en el Recaudo</t>
  </si>
  <si>
    <t>O1210</t>
  </si>
  <si>
    <t>RECURSOS del balance</t>
  </si>
  <si>
    <t>Incorrección en el Informe de Ejecución de Ingresos</t>
  </si>
  <si>
    <t>Inconsistencias en las cifras presupuestales</t>
  </si>
  <si>
    <t>O1211</t>
  </si>
  <si>
    <t>Diferencial cambiario</t>
  </si>
  <si>
    <t>Otros</t>
  </si>
  <si>
    <t>O1212</t>
  </si>
  <si>
    <t>Retiros FONPET</t>
  </si>
  <si>
    <t>O1213</t>
  </si>
  <si>
    <t>Reintegros y otros RECURSOS no apropiados</t>
  </si>
  <si>
    <t>O122</t>
  </si>
  <si>
    <t>Transferencias</t>
  </si>
  <si>
    <t>O12201</t>
  </si>
  <si>
    <t>Transferencias corrientes nacionales</t>
  </si>
  <si>
    <t>O12202</t>
  </si>
  <si>
    <t>Departamentales</t>
  </si>
  <si>
    <t>O12203</t>
  </si>
  <si>
    <t>Distritales</t>
  </si>
  <si>
    <t>O12204</t>
  </si>
  <si>
    <t>Otras Transferencias</t>
  </si>
  <si>
    <t>O15</t>
  </si>
  <si>
    <t>Transferencias Administración Central</t>
  </si>
  <si>
    <t>CÓDIGO GASTOS</t>
  </si>
  <si>
    <t>O2</t>
  </si>
  <si>
    <t>O21</t>
  </si>
  <si>
    <t>GASTOS DE FUNCIONAMIENTO</t>
  </si>
  <si>
    <t>O211</t>
  </si>
  <si>
    <t>Gasto de personal</t>
  </si>
  <si>
    <t>O21101</t>
  </si>
  <si>
    <t>Planta de Personal permanente</t>
  </si>
  <si>
    <t>O21102</t>
  </si>
  <si>
    <t>Personal supernumerario y Planta temporal</t>
  </si>
  <si>
    <t>No Aplica</t>
  </si>
  <si>
    <t>O212</t>
  </si>
  <si>
    <t>Adquisición bienes y servicios</t>
  </si>
  <si>
    <t>O21201</t>
  </si>
  <si>
    <t>Adquisición de activos no financieros</t>
  </si>
  <si>
    <t>O21202</t>
  </si>
  <si>
    <t>Adquisiciones diferentes de activos</t>
  </si>
  <si>
    <t>O213</t>
  </si>
  <si>
    <t>Transferencias CORRIENTES</t>
  </si>
  <si>
    <t>O21304</t>
  </si>
  <si>
    <t>A organizaciones nacionales</t>
  </si>
  <si>
    <t>O21305</t>
  </si>
  <si>
    <t>A entidades del gobierno</t>
  </si>
  <si>
    <t>O21314</t>
  </si>
  <si>
    <t>Aportes al FONPET</t>
  </si>
  <si>
    <t>O217</t>
  </si>
  <si>
    <t>Disminución de Pasivos</t>
  </si>
  <si>
    <t>O218</t>
  </si>
  <si>
    <t>O22</t>
  </si>
  <si>
    <t>SERVICIO DE LA DEUDA PÚBLICA</t>
  </si>
  <si>
    <t>O221</t>
  </si>
  <si>
    <t>Servicios de la deuda pública externa</t>
  </si>
  <si>
    <t>O22101</t>
  </si>
  <si>
    <t>Principal</t>
  </si>
  <si>
    <t>O22102</t>
  </si>
  <si>
    <t>Intereses</t>
  </si>
  <si>
    <t>O222</t>
  </si>
  <si>
    <t>Servicios de la deuda pública interna</t>
  </si>
  <si>
    <t>O22201</t>
  </si>
  <si>
    <t>O22202</t>
  </si>
  <si>
    <t>O22203</t>
  </si>
  <si>
    <t>Comisiones y otros GASTOS</t>
  </si>
  <si>
    <t>O23</t>
  </si>
  <si>
    <t>INVERSIÓN</t>
  </si>
  <si>
    <t>O2301</t>
  </si>
  <si>
    <t>Directa</t>
  </si>
  <si>
    <t>O233</t>
  </si>
  <si>
    <t>O23301</t>
  </si>
  <si>
    <t>Subvenciones</t>
  </si>
  <si>
    <t>O23302</t>
  </si>
  <si>
    <t>A empresas diferentes de subvenciones</t>
  </si>
  <si>
    <t>Pasivos Otros Distrito</t>
  </si>
  <si>
    <t>O23305</t>
  </si>
  <si>
    <t>Reservas de la vigencia anterior</t>
  </si>
  <si>
    <t>O23307</t>
  </si>
  <si>
    <t>Prestaciones para cubrir riesgos sociales</t>
  </si>
  <si>
    <t>Gastos comprometidos</t>
  </si>
  <si>
    <t>O23313</t>
  </si>
  <si>
    <t>Sentencias y conciliaciones</t>
  </si>
  <si>
    <t>Gastos Generales</t>
  </si>
  <si>
    <t>O234</t>
  </si>
  <si>
    <t>Transferencias para INVERSIÓN</t>
  </si>
  <si>
    <t>Gastos de Operación</t>
  </si>
  <si>
    <t>O23401</t>
  </si>
  <si>
    <t>Transferencia Distrital</t>
  </si>
  <si>
    <t>Gastos Diversos</t>
  </si>
  <si>
    <t>Otros Rubros Presupuestales</t>
  </si>
  <si>
    <t>O4</t>
  </si>
  <si>
    <t>DISPONIBILIDAD FINAL</t>
  </si>
  <si>
    <t>CÓDIGO OTROS GASTOS</t>
  </si>
  <si>
    <t>No Presenta</t>
  </si>
  <si>
    <t xml:space="preserve">500 - Fondo Distrital para la Gestión de Riesgos y Cambio Climático de Bogotá D.C. –FONDIGER </t>
  </si>
  <si>
    <t>INSTRUMENTO PARA LA CALIFICACIÓN DE LA GESTIÓN FISCAL</t>
  </si>
  <si>
    <t>AUDITORÍA FINANCIERA, DE GESTIÓN Y RESULTADOS</t>
  </si>
  <si>
    <t>PONDERACIÓN MACRO</t>
  </si>
  <si>
    <t>PONDERACIÓN PRO</t>
  </si>
  <si>
    <t>PRINCIPIOS DE LA GESTIÓN FISCAL</t>
  </si>
  <si>
    <t>ECONOMIA</t>
  </si>
  <si>
    <t>CONCEPTO  GESTIÓN DESEMPEÑO FINANCIERO</t>
  </si>
  <si>
    <t>TOTAL MACROPROCESO GESTIÓN FINANCIERA</t>
  </si>
  <si>
    <t>GESTIÓN PRESUPUESTAL Y RESULTADOS</t>
  </si>
  <si>
    <t>TOTAL PROCESO GESTIÓN PRESUPUESTAL</t>
  </si>
  <si>
    <t>GESTIÓN Y RESULTADOS</t>
  </si>
  <si>
    <t>TOTAL PONDERADO</t>
  </si>
  <si>
    <t>Calificación por Principio</t>
  </si>
  <si>
    <t>CONCEPTO DE GESTIÓN</t>
  </si>
  <si>
    <t>CONTROL FISCAL INTERNO</t>
  </si>
  <si>
    <t>CONCEPTO DE CALIDAD Y EFICIENCIA</t>
  </si>
  <si>
    <t>CONTROL INTERNO CONTABLE</t>
  </si>
  <si>
    <t>CALIFICACIÓN PLAN DE MEJORAMIENTO</t>
  </si>
  <si>
    <t xml:space="preserve">SUPERVISOR: </t>
  </si>
  <si>
    <t>Fecha de Revisión:</t>
  </si>
  <si>
    <t>PRINCIPIOS</t>
  </si>
  <si>
    <t>Eficacia</t>
  </si>
  <si>
    <t>Eficiencia</t>
  </si>
  <si>
    <t>Economía</t>
  </si>
  <si>
    <t>ESTRUCTURA</t>
  </si>
  <si>
    <t>PONDERACIÓN INICIAL</t>
  </si>
  <si>
    <t>CON DATOS EFICACIA</t>
  </si>
  <si>
    <t>CON DATOS EFICIENCIA</t>
  </si>
  <si>
    <t>Financiera</t>
  </si>
  <si>
    <t xml:space="preserve">PRINCIPIO </t>
  </si>
  <si>
    <t>Clientes/ Mercados y Negocios</t>
  </si>
  <si>
    <t>&gt;=75%</t>
  </si>
  <si>
    <t>Procesos Internos</t>
  </si>
  <si>
    <t>Innovación y aprendizaje</t>
  </si>
  <si>
    <t>RESULTADO POR PRINCIPIO</t>
  </si>
  <si>
    <t xml:space="preserve">La calificación otorgada debe ser incluida en escala de 0 a 100, siendo 0% la mínima calificación posible y 100% la máxima calificación posible. </t>
  </si>
  <si>
    <t xml:space="preserve">VALOR ANUAL PLAN ESTRATEGICO </t>
  </si>
  <si>
    <t>HOJA DE CALIFICACION</t>
  </si>
  <si>
    <t>ESTRUCTURA ESTRATEGICA</t>
  </si>
  <si>
    <t>OBJETIVO</t>
  </si>
  <si>
    <t>ESTRATEGIA/PROYECTO/UNIDAD DE NEGOCIO</t>
  </si>
  <si>
    <t>NOMBRE DEL INDICADOR</t>
  </si>
  <si>
    <t>FORMULA DEL INDICADOR</t>
  </si>
  <si>
    <t>LÍNEA BASE</t>
  </si>
  <si>
    <t>META PROGRAMADA</t>
  </si>
  <si>
    <t>META EJECUTADA</t>
  </si>
  <si>
    <t>NUMERAL HALLAZGO DEL INFORME</t>
  </si>
  <si>
    <t>VALOR DEL HALLAZGO DEL INFORME</t>
  </si>
  <si>
    <t>PRESUPUESTO DE INGRESOS</t>
  </si>
  <si>
    <t>COMPARATIVO VIGENCIAS</t>
  </si>
  <si>
    <t>ANÁLISIS VIGENCIA ACTUAL</t>
  </si>
  <si>
    <t xml:space="preserve">Valores en Pesos </t>
  </si>
  <si>
    <t>Rubro y/o cuenta presupuestal</t>
  </si>
  <si>
    <t>Presupuesto definitivo
Vigencia Anterior</t>
  </si>
  <si>
    <t>% Participación
Presupuesto definitivo
(vigencia anterior)</t>
  </si>
  <si>
    <t xml:space="preserve">Presupuesto definitivo Vigencia Actual </t>
  </si>
  <si>
    <t>% Participación
Presupuesto definitivo
(vigencia actual)</t>
  </si>
  <si>
    <t>Variación 
 absoluta</t>
  </si>
  <si>
    <t>% variación</t>
  </si>
  <si>
    <t>Explicación variación y participación</t>
  </si>
  <si>
    <t>Presupuesto Inicial a Auditar</t>
  </si>
  <si>
    <t>Modificaciones</t>
  </si>
  <si>
    <t>Presupuesto Definitivo
Vigencia a Auditar</t>
  </si>
  <si>
    <t>Recaudo acumulado vigencia actual</t>
  </si>
  <si>
    <t>% Recaudo acumulado vigencia actual</t>
  </si>
  <si>
    <t>Muestra</t>
  </si>
  <si>
    <t>Observaciones</t>
  </si>
  <si>
    <t>Menos</t>
  </si>
  <si>
    <t>Más</t>
  </si>
  <si>
    <t>PRESUPUESTO DE GASTOS</t>
  </si>
  <si>
    <t xml:space="preserve">Presupuesto vigente
(vigencia anterior) </t>
  </si>
  <si>
    <t>% Participación Presupuesto vigente
(vigencia anterior)</t>
  </si>
  <si>
    <t>Presupuesto vigente 
(vigencia actual)</t>
  </si>
  <si>
    <t>% Participación Presupuesto vigente 
(vigencia actual)</t>
  </si>
  <si>
    <t>Presupuesto vigente
(vigencia a auditar)</t>
  </si>
  <si>
    <t>Compromisos acumulados vigencia actual</t>
  </si>
  <si>
    <t>% Compromisos acumulados vigencia actual</t>
  </si>
  <si>
    <t>Giros acumulados vigencia actual</t>
  </si>
  <si>
    <t>% Giros acumulados vigencia actual</t>
  </si>
  <si>
    <t>Observaciones 
(Especialmente a compromisos y giros, entre otras)</t>
  </si>
  <si>
    <t>PRESUPUESTO DE GASTOS – RESERVAS / OBLIGACIONES POR PAGAR / CUENTAS POR PAGAR / PASIVOS EXIGIBLES / VIGENCIAS FUTURAS</t>
  </si>
  <si>
    <r>
      <t xml:space="preserve">CÓDIGO
</t>
    </r>
    <r>
      <rPr>
        <sz val="11"/>
        <color theme="0"/>
        <rFont val="Arial"/>
        <family val="2"/>
      </rPr>
      <t>(Si lo hay)</t>
    </r>
  </si>
  <si>
    <t>Aspecto</t>
  </si>
  <si>
    <t xml:space="preserve">Diligenciar de conformidad con el nivel de desagregación que el auditor considere y de acuerdo con el alcance del Plan de Trabajo. Se recomienda escoger aquello(a)s de mayor riesgo sobre los cuales se deberá focalizar la auditoría, incluyendo como mínimo las cuentas agregadas consideradas como Base de Análisis (Ingresos, Gastos/Costos y Gastos, Reservas, Obligaciones y/o Cuentas por Pagar). </t>
  </si>
  <si>
    <t>Aquellos seleccionados en la planeación con mayor riesgo, que focalizarán la auditoria. Por ejemplo aquellos rubros con baja ejecución y giros acumulados, que estén por debajo del 75%.Los cálculos automáticos para el análisis el auditor sobre los agregados y para aquellas cuentas que encuentre con alto riesgo, suceptibles de incluir en la muestra.</t>
  </si>
  <si>
    <r>
      <rPr>
        <b/>
        <sz val="11"/>
        <color theme="1"/>
        <rFont val="Arial"/>
        <family val="2"/>
      </rPr>
      <t xml:space="preserve">Nota 1: </t>
    </r>
    <r>
      <rPr>
        <sz val="11"/>
        <color theme="1"/>
        <rFont val="Arial"/>
        <family val="2"/>
      </rPr>
      <t>Con el diligenciamiento de este instrumento se pretende establecer el universo de los rubros y/o cuentas presupuestales a tener en cuenta del Sujeto de Control con corte a diciembre 31 de la vigencia a auditar y de esta forma establecer su participación % y principales variaciones con respecto a diciembre 31 del año anterior.</t>
    </r>
  </si>
  <si>
    <r>
      <rPr>
        <b/>
        <sz val="11"/>
        <color theme="1"/>
        <rFont val="Arial"/>
        <family val="2"/>
      </rPr>
      <t>Nota 2:</t>
    </r>
    <r>
      <rPr>
        <sz val="11"/>
        <color theme="1"/>
        <rFont val="Arial"/>
        <family val="2"/>
      </rPr>
      <t xml:space="preserve"> A partir de lo anterior, con el fin de focalizar la Muestra a Seleccionar, se dará aplicación a los criterios establecidos para seleccionar la muestra según los procedimientos establecidos.</t>
    </r>
  </si>
  <si>
    <r>
      <rPr>
        <b/>
        <sz val="11"/>
        <color theme="1"/>
        <rFont val="Arial"/>
        <family val="2"/>
      </rPr>
      <t>Nota 3:</t>
    </r>
    <r>
      <rPr>
        <sz val="11"/>
        <color theme="1"/>
        <rFont val="Arial"/>
        <family val="2"/>
      </rPr>
      <t xml:space="preserve"> Se deberan considerar dentro de los criterios base para la selección de la muestra, los resultados de la aplicación del PVCGF-15-11 Matriz de Riesgos y Controles.</t>
    </r>
  </si>
  <si>
    <r>
      <rPr>
        <b/>
        <sz val="11"/>
        <color theme="1"/>
        <rFont val="Arial"/>
        <family val="2"/>
      </rPr>
      <t>Nota 4</t>
    </r>
    <r>
      <rPr>
        <sz val="11"/>
        <color theme="1"/>
        <rFont val="Arial"/>
        <family val="2"/>
      </rPr>
      <t>: Se pueden agregar filas debajo de la primera y antes de la última fila de cada grupo de Ingresos o Gastos; para efectos de no alterar la formulación</t>
    </r>
  </si>
  <si>
    <t>PLANES Y PROYECTOS</t>
  </si>
  <si>
    <t>GASTO PÚBLICO</t>
  </si>
  <si>
    <t>CC</t>
  </si>
  <si>
    <t>Concepto gestión presupuestal</t>
  </si>
  <si>
    <t xml:space="preserve">Concepto gestión y resultados </t>
  </si>
  <si>
    <t>Concepto consolidado de Gestión Presupuestal y Resultados</t>
  </si>
  <si>
    <t>Concepto consolidado de Gestión Financiera</t>
  </si>
  <si>
    <t>Fenecimiento</t>
  </si>
  <si>
    <t>No Razonable</t>
  </si>
  <si>
    <t>NO FENECE</t>
  </si>
  <si>
    <t>No razonable</t>
  </si>
  <si>
    <t>FENECE</t>
  </si>
  <si>
    <t>Limpio o Sin Salvedades</t>
  </si>
  <si>
    <t>Concepto gestión Estados Financieros</t>
  </si>
  <si>
    <t>Concepto gestión Desempeño Financiero</t>
  </si>
  <si>
    <t>PROCESO GESTIÓN PRESUPUESTAL</t>
  </si>
  <si>
    <t>CONCEPTO DE RESULTADOS DE PLAN ESTRATEGICO</t>
  </si>
  <si>
    <t>RAZONABLE</t>
  </si>
  <si>
    <t>NO RAZONABLE</t>
  </si>
  <si>
    <t>Favorable</t>
  </si>
  <si>
    <t>Con Observaciones</t>
  </si>
  <si>
    <t>Desfavorable</t>
  </si>
  <si>
    <t>Concepto Planes y Proyectos</t>
  </si>
  <si>
    <t>Concepto Gasto Público</t>
  </si>
  <si>
    <t>Concepto consolidado de Gestión y Resultados</t>
  </si>
  <si>
    <t>CONCEPTO  PLANES Y PROYECTOS</t>
  </si>
  <si>
    <t>TOTAL PROCESO GESTIÓN Y RESULTADOS</t>
  </si>
  <si>
    <r>
      <t xml:space="preserve">Ejecución presupuestal de </t>
    </r>
    <r>
      <rPr>
        <b/>
        <u/>
        <sz val="12"/>
        <color theme="1"/>
        <rFont val="Calibri"/>
        <family val="2"/>
        <scheme val="minor"/>
      </rPr>
      <t>INGRESOS</t>
    </r>
  </si>
  <si>
    <r>
      <t xml:space="preserve">Ejecución presupuestal de </t>
    </r>
    <r>
      <rPr>
        <b/>
        <u/>
        <sz val="12"/>
        <color theme="1"/>
        <rFont val="Calibri"/>
        <family val="2"/>
        <scheme val="minor"/>
      </rPr>
      <t>GASTOS</t>
    </r>
  </si>
  <si>
    <r>
      <rPr>
        <b/>
        <sz val="11"/>
        <color theme="1"/>
        <rFont val="Arial"/>
        <family val="2"/>
      </rPr>
      <t>HALLAZGOS PARA CONCEPTO PRESUPUESTAL
INSTRUCCIONES:</t>
    </r>
    <r>
      <rPr>
        <sz val="11"/>
        <color theme="1"/>
        <rFont val="Arial"/>
        <family val="2"/>
      </rPr>
      <t xml:space="preserve">
</t>
    </r>
    <r>
      <rPr>
        <b/>
        <sz val="11"/>
        <color theme="1"/>
        <rFont val="Arial"/>
        <family val="2"/>
      </rPr>
      <t xml:space="preserve">Columna Condición o Situación encontrada: </t>
    </r>
    <r>
      <rPr>
        <sz val="11"/>
        <color theme="1"/>
        <rFont val="Arial"/>
        <family val="2"/>
      </rPr>
      <t xml:space="preserve">En esta sección el auditor debe describir brevemente la condición o situación encontrada relacionada con la cuenta, rubro o aspecto evaluado en el que se identificó la inconsistencia o deficiencia de control.
</t>
    </r>
    <r>
      <rPr>
        <b/>
        <sz val="11"/>
        <color theme="1"/>
        <rFont val="Arial"/>
        <family val="2"/>
      </rPr>
      <t xml:space="preserve">Columna Tipo de Incorrección o Imposibilidad: </t>
    </r>
    <r>
      <rPr>
        <sz val="11"/>
        <color theme="1"/>
        <rFont val="Arial"/>
        <family val="2"/>
      </rPr>
      <t>En esta sección el auditor debe seleccionar el tipo de incorrección o imposibilidad, de acuerdo con rubro presupuestal en el que se identificó la inconsistencia o deficiencia.</t>
    </r>
    <r>
      <rPr>
        <b/>
        <sz val="11"/>
        <color theme="1"/>
        <rFont val="Arial"/>
        <family val="2"/>
      </rPr>
      <t xml:space="preserve">
Columna Clasificación presupuestal:</t>
    </r>
    <r>
      <rPr>
        <sz val="11"/>
        <color theme="1"/>
        <rFont val="Arial"/>
        <family val="2"/>
      </rPr>
      <t xml:space="preserve"> Seleccionar la fila del rubro presupuestal agregado al cual pertenece la subcuenta en la que se identificó el hallazgo.
</t>
    </r>
    <r>
      <rPr>
        <b/>
        <sz val="11"/>
        <color theme="1"/>
        <rFont val="Arial"/>
        <family val="2"/>
      </rPr>
      <t>Columna Rubro o Aspecto Presupuestal:</t>
    </r>
    <r>
      <rPr>
        <sz val="11"/>
        <color theme="1"/>
        <rFont val="Arial"/>
        <family val="2"/>
      </rPr>
      <t xml:space="preserve"> Según el tipo de hallazgo y el rubro presupuestal, en la columna D, se registrará el rubro o cuenta presupuestal concreta por dónde se detectó el hallazgo.
</t>
    </r>
    <r>
      <rPr>
        <b/>
        <sz val="11"/>
        <color theme="1"/>
        <rFont val="Arial"/>
        <family val="2"/>
      </rPr>
      <t>Columna Origen o Causa:</t>
    </r>
    <r>
      <rPr>
        <sz val="11"/>
        <color theme="1"/>
        <rFont val="Arial"/>
        <family val="2"/>
      </rPr>
      <t xml:space="preserve"> De la lista desplegable seleccionar la situación que corresponda, según el origen del hallazgo.
</t>
    </r>
    <r>
      <rPr>
        <b/>
        <sz val="11"/>
        <color theme="1"/>
        <rFont val="Arial"/>
        <family val="2"/>
      </rPr>
      <t>Columna Principio Presupuestal afectado:</t>
    </r>
    <r>
      <rPr>
        <sz val="11"/>
        <color theme="1"/>
        <rFont val="Arial"/>
        <family val="2"/>
      </rPr>
      <t xml:space="preserve"> Seleccione del desplegable, el principio presupuestal afectado con el hallazgo presentado.
</t>
    </r>
    <r>
      <rPr>
        <b/>
        <sz val="11"/>
        <color theme="1"/>
        <rFont val="Arial"/>
        <family val="2"/>
      </rPr>
      <t>Columna Valor de la Incorrección o Imposibilidad:</t>
    </r>
    <r>
      <rPr>
        <sz val="11"/>
        <color theme="1"/>
        <rFont val="Arial"/>
        <family val="2"/>
      </rPr>
      <t xml:space="preserve"> En esta sección el auditor debe escribir el valor en pesos de la inconsistencia, en el evento de ser cuantificable, o que se haya cuantificado en el hallazgo.
</t>
    </r>
    <r>
      <rPr>
        <b/>
        <sz val="11"/>
        <color theme="1"/>
        <rFont val="Arial"/>
        <family val="2"/>
      </rPr>
      <t xml:space="preserve">Columna Porcentaje (% ) de hallazgo o salvedad respecto a la cuenta presupuestal: </t>
    </r>
    <r>
      <rPr>
        <sz val="11"/>
        <color theme="1"/>
        <rFont val="Arial"/>
        <family val="2"/>
      </rPr>
      <t xml:space="preserve">En esta sección el auditor debe consignar, el porcentaje del valor del hallazgo respecto del valor ejecutado de la cuenta presupuestal, cuando aplique.
</t>
    </r>
    <r>
      <rPr>
        <b/>
        <sz val="11"/>
        <color theme="1"/>
        <rFont val="Arial"/>
        <family val="2"/>
      </rPr>
      <t xml:space="preserve">Columna Resumen de la Observación o Hallazgo: </t>
    </r>
    <r>
      <rPr>
        <sz val="11"/>
        <color theme="1"/>
        <rFont val="Arial"/>
        <family val="2"/>
      </rPr>
      <t xml:space="preserve">En esta sección el auditor debe describir, una síntesis de la esencia del hallazgo.
</t>
    </r>
    <r>
      <rPr>
        <b/>
        <sz val="11"/>
        <color theme="1"/>
        <rFont val="Arial"/>
        <family val="2"/>
      </rPr>
      <t>Columna Efecto en caso de incorrección o posible efecto en caso de imposibilidad :</t>
    </r>
    <r>
      <rPr>
        <sz val="11"/>
        <color theme="1"/>
        <rFont val="Arial"/>
        <family val="2"/>
      </rPr>
      <t xml:space="preserve"> En esta sección el auditor debe escribir, el efecto o consecuencia que genera el   hallazgo.
</t>
    </r>
    <r>
      <rPr>
        <b/>
        <sz val="11"/>
        <color theme="1"/>
        <rFont val="Arial"/>
        <family val="2"/>
      </rPr>
      <t>Columna Presunta incidencia:</t>
    </r>
    <r>
      <rPr>
        <sz val="11"/>
        <color theme="1"/>
        <rFont val="Arial"/>
        <family val="2"/>
      </rPr>
      <t xml:space="preserve"> En esta sección el auditor debe seleccionar del desplegable, la(s) presuntas incidencias del hallazgo (fiscal, penal o disciplinaria).
</t>
    </r>
    <r>
      <rPr>
        <b/>
        <sz val="11"/>
        <color theme="1"/>
        <rFont val="Arial"/>
        <family val="2"/>
      </rPr>
      <t xml:space="preserve">Columna Numeral del hallazgo(s) en Informe Final: </t>
    </r>
    <r>
      <rPr>
        <sz val="11"/>
        <color theme="1"/>
        <rFont val="Arial"/>
        <family val="2"/>
      </rPr>
      <t xml:space="preserve">Registrar el numeral con el que se identifiquen los hallazgos que se determinen en la auditoría y que estén relacionados con la cuenta o rubro presupuestal auditado
</t>
    </r>
    <r>
      <rPr>
        <b/>
        <sz val="11"/>
        <color theme="1"/>
        <rFont val="Arial"/>
        <family val="2"/>
      </rPr>
      <t xml:space="preserve">Columna Referencia P/T: </t>
    </r>
    <r>
      <rPr>
        <sz val="11"/>
        <color theme="1"/>
        <rFont val="Arial"/>
        <family val="2"/>
      </rPr>
      <t xml:space="preserve">En esta sección el auditor debe escribir la referenciación del papel de trabajo donde aparezcan los detalles y el análisis del hallazgo, realizados por el auditor. 
</t>
    </r>
  </si>
  <si>
    <t>TIPOS DE CONCEPTOS, SUS PARAMETROS, CALIFICACIÓN Y CONCEPTO DEL PRINCIPIO EVALUADO</t>
  </si>
  <si>
    <t>CONCEPTOS</t>
  </si>
  <si>
    <t>INDICADORES A PARTIR DE INFORMES DE EJECUCIÓN PRESUPUESTAL PARA CONCEPTO PRESUPUESTAL</t>
  </si>
  <si>
    <t>HALLAZGOS PARA CONCEPTO PRESUPUESTAL</t>
  </si>
  <si>
    <t xml:space="preserve">RESERVAS PRESUPUESTALES CONSTITUIDAS </t>
  </si>
  <si>
    <t>Incorrección en el Informe de Ejecución de Gastos de Comercialización y Producción</t>
  </si>
  <si>
    <t>Imposibilidades en el Informe de Ejecución de Gastos  de Comercialización y Producción</t>
  </si>
  <si>
    <t>Materiales y suministros</t>
  </si>
  <si>
    <t>AUDITORIA FINANCIERA DE GESTIÓN Y RESULTADOS</t>
  </si>
  <si>
    <t>Si</t>
  </si>
  <si>
    <t>No</t>
  </si>
  <si>
    <t>Informe de Ejecución de Ingresos</t>
  </si>
  <si>
    <t>Informe de Ejecución de Gastos / Costos y Gastos</t>
  </si>
  <si>
    <t>EJECUCIÓN DE GASTOS</t>
  </si>
  <si>
    <t>No.</t>
  </si>
  <si>
    <t>O2 GASTOS</t>
  </si>
  <si>
    <t>Ejecución de Ingresos</t>
  </si>
  <si>
    <t>Ejecución de Gastos / Costos y Gastos</t>
  </si>
  <si>
    <t>Concepto consolidado Presupuestal</t>
  </si>
  <si>
    <t>Tipo de meta</t>
  </si>
  <si>
    <t>Resultado %</t>
  </si>
  <si>
    <t>POAI (Plan Operativo Anual de Inversiones)</t>
  </si>
  <si>
    <t>CALIFICACIÓN:</t>
  </si>
  <si>
    <t>Calificación POAI</t>
  </si>
  <si>
    <t>Calificación Ejecución</t>
  </si>
  <si>
    <t>Calificación Tiempos</t>
  </si>
  <si>
    <t>Calificación Giros</t>
  </si>
  <si>
    <t>PRINCIPIO:</t>
  </si>
  <si>
    <t>CONCEPTO:</t>
  </si>
  <si>
    <t>Proyectos Ambientales</t>
  </si>
  <si>
    <t>Calificación Proyectos Ambientales:</t>
  </si>
  <si>
    <t>Principio:</t>
  </si>
  <si>
    <t>Tipo de Meta</t>
  </si>
  <si>
    <t>EFICACIA %</t>
  </si>
  <si>
    <t>EFICIENCIA %</t>
  </si>
  <si>
    <t>Calificación:</t>
  </si>
  <si>
    <t>Concepto:</t>
  </si>
  <si>
    <t>POAI</t>
  </si>
  <si>
    <t>Tiempos</t>
  </si>
  <si>
    <t>Ejecución</t>
  </si>
  <si>
    <t>Giros</t>
  </si>
  <si>
    <t>Proyectos Ambientales:</t>
  </si>
  <si>
    <t>Suma</t>
  </si>
  <si>
    <t>Constante</t>
  </si>
  <si>
    <t>Creciente</t>
  </si>
  <si>
    <t>Decreciente</t>
  </si>
  <si>
    <t>Decreciente Anual</t>
  </si>
  <si>
    <t>CALIFICACIÓN PROCESO PLANES Y PROYECTOS</t>
  </si>
  <si>
    <t>TABLA DE CALIFICACION DEL PROCESO PLAN ESTRATÉGICO</t>
  </si>
  <si>
    <t>JUSTIFICACIÓN PARA SELECCIONAR  EL PORCENTAJE</t>
  </si>
  <si>
    <t>PDVCF:</t>
  </si>
  <si>
    <t>PDVCF</t>
  </si>
  <si>
    <t>Vigencia PDVCF:</t>
  </si>
  <si>
    <t>Periodo PDVCF:</t>
  </si>
  <si>
    <t>Instrumento para la calificación de la gestión fiscal
Materialidad presupuetal</t>
  </si>
  <si>
    <t>Instrumento para la calificación de la gestión fiscal
Procesos presupuesto de ingresos y de gastos o costos y gastos
Indicadores y hallazgos para concepto de la gestión presupuestal</t>
  </si>
  <si>
    <t>Instrumento para la calificación de la gestión fiscal
Planes y Proyectos</t>
  </si>
  <si>
    <t>Código formato: PVCGF-04-09</t>
  </si>
  <si>
    <t>Instrumento para la calificación de la gestión fiscal
Procesos presupuesto de ingresos y de gastos o costos y gastos
Prueba Analítica</t>
  </si>
  <si>
    <t>Instrumento para la calificación de la gestión fiscal
Proceso Desempeño Financiero
Análisis de Hallazgo para Concepto de Desempeño Financiero</t>
  </si>
  <si>
    <t>Instrumento para la calificación de la gestión fiscal
Materialidad Proceso Estados Financieros 
Análisis Hallazgos para Opinión</t>
  </si>
  <si>
    <t xml:space="preserve">Instrumento para la calificación de la gestión fiscal
Materialidad Proceso Estados Financieros </t>
  </si>
  <si>
    <t>Código formato
PVCGF-04-09</t>
  </si>
  <si>
    <t>Instrumento para la calificación de la gestión fiscal
Analítica Estado de Resultados - Proceso Estados Financieros 
Prueba Analítica</t>
  </si>
  <si>
    <t>Instrumento para la calificación de la gestión fiscal
Materialidad Proceso Estados Financieros 
Prueba Analítica</t>
  </si>
  <si>
    <t>Código formato:
PVCGF-04-09</t>
  </si>
  <si>
    <r>
      <rPr>
        <b/>
        <sz val="11"/>
        <color rgb="FFFF0000"/>
        <rFont val="Calibri"/>
        <family val="2"/>
        <scheme val="minor"/>
      </rPr>
      <t xml:space="preserve">Notas aclaratorias: </t>
    </r>
    <r>
      <rPr>
        <b/>
        <sz val="11"/>
        <rFont val="Calibri"/>
        <family val="2"/>
        <scheme val="minor"/>
      </rPr>
      <t xml:space="preserve">
1. En caso de que al Sujeto de Control Fiscal no se le haya practicado Auditoría Regular (AR) o Financiera Gestión y Resultados (AFGR) en el año inmediatamente anterior, se debe tomar la información de la última vigencia auditada.
2. Si al Sujeto de Control nunca se le ha efectuado auditoría (AR o AFGR) alguna, entonces seleccione la frase: “No Hay" de la lista desplegable.
3. En lo que respecta al Concepto Auditoría y a la Calificación Control Interno auditoría anterior, así como el Diseño del Control y Riesgo Residual de la auditoría actual estos hace referencia únicamente al Proceso Presupuestal.
</t>
    </r>
  </si>
  <si>
    <t>No Hay</t>
  </si>
  <si>
    <t>RESULTADOS AUDITORIA VIGENCIA ANTERIOR</t>
  </si>
  <si>
    <t>DATOS VIGENCIA AUDITORIA ACTUAL</t>
  </si>
  <si>
    <r>
      <t xml:space="preserve">Notas aclaratorias: 
</t>
    </r>
    <r>
      <rPr>
        <b/>
        <sz val="11"/>
        <color rgb="FFFF0000"/>
        <rFont val="Arial"/>
        <family val="2"/>
      </rPr>
      <t xml:space="preserve">1. En caso de que al Sujeto de Control Fiscal no se le haya practicado Auditoría Regular (AR) o Financiera Gestión y Resultados (AFGR) en el año inmediatamente anterior, se debe tomar la información de la última </t>
    </r>
    <r>
      <rPr>
        <b/>
        <u/>
        <sz val="11"/>
        <color rgb="FFFF0000"/>
        <rFont val="Arial"/>
        <family val="2"/>
      </rPr>
      <t>vigencia</t>
    </r>
    <r>
      <rPr>
        <b/>
        <sz val="11"/>
        <color rgb="FFFF0000"/>
        <rFont val="Arial"/>
        <family val="2"/>
      </rPr>
      <t xml:space="preserve"> auditada.
2. Si al Sujeto de Control nunca se le ha efectuado auditoría (AR o AFGR) alguna, entonces seleccione la frase: “</t>
    </r>
    <r>
      <rPr>
        <b/>
        <i/>
        <sz val="11"/>
        <color rgb="FFFF0000"/>
        <rFont val="Arial"/>
        <family val="2"/>
      </rPr>
      <t>No Hay</t>
    </r>
    <r>
      <rPr>
        <b/>
        <sz val="11"/>
        <color rgb="FFFF0000"/>
        <rFont val="Arial"/>
        <family val="2"/>
      </rPr>
      <t>" de la lista desplegable.</t>
    </r>
    <r>
      <rPr>
        <b/>
        <sz val="11"/>
        <rFont val="Arial"/>
        <family val="2"/>
      </rPr>
      <t xml:space="preserve">
</t>
    </r>
  </si>
  <si>
    <t>Calificación Control Interno Contable - Proceso Estados Financieros auditoría anterior</t>
  </si>
  <si>
    <t>Riesgo Residual o Combinado - Proceso Estados Financieros auditoría actual</t>
  </si>
  <si>
    <t>NIVEL 1 
Entre 1 y 7 Puntos</t>
  </si>
  <si>
    <t>AYUDAS DE ANTECEDENTES PARA SELECCIONAR UN PORCENTAJE</t>
  </si>
  <si>
    <t>CALIFICACIÓN POR PROCESO/
MACROPROCESO</t>
  </si>
  <si>
    <t>CONCEPTO  GESTIÓN GASTO PÚBLICO</t>
  </si>
  <si>
    <t>CONCEPTO PRESUPUESTAL DE GASTOS/COSTOS Y GASTOS</t>
  </si>
  <si>
    <t>CONCEPTO PRESUPUESTAL DE INGRESOS</t>
  </si>
  <si>
    <t>CONCEPTO GESTIÓN PRESUPUESTAL (CONSOLIDADA)</t>
  </si>
  <si>
    <t>CONCEPTO GESTIÓN Y RESULTADOS (CONSOLIDADA)</t>
  </si>
  <si>
    <t>TOTAL MACROPROCESO GESTIÓN PRESUPUESTAL Y RESULTADOS</t>
  </si>
  <si>
    <t>Base 100%</t>
  </si>
  <si>
    <t>Resultado</t>
  </si>
  <si>
    <t>INEXISTENTE</t>
  </si>
  <si>
    <t>0,01% - 24,99%</t>
  </si>
  <si>
    <t>INEFICIENTE</t>
  </si>
  <si>
    <t>25% - 49,99%</t>
  </si>
  <si>
    <t>50% - 74,99%</t>
  </si>
  <si>
    <t>CON DEFICIENCIAS</t>
  </si>
  <si>
    <t>75% - 100%</t>
  </si>
  <si>
    <t>EFICIENTE</t>
  </si>
  <si>
    <t>Calificacion_eficiencia</t>
  </si>
  <si>
    <t>Mínimo</t>
  </si>
  <si>
    <t>Máximo</t>
  </si>
  <si>
    <t>Cuando no existen controles</t>
  </si>
  <si>
    <t>Cuando no existe por lo menos un control</t>
  </si>
  <si>
    <t>Cuando la calificación sea mayor que 1 y menor a 2</t>
  </si>
  <si>
    <t>Cuando la calificación sea mayor que 2 y menor o igual que 2,5</t>
  </si>
  <si>
    <t>Cuando la calificación mayor que 2,5</t>
  </si>
  <si>
    <t xml:space="preserve">
OPINION/CONCEPTOS</t>
  </si>
  <si>
    <t>CONCEPTO DE EFICACIA Y EFECTIVIDAD</t>
  </si>
  <si>
    <t>MONTO TOTAL UNIDAD DE ANÁLISIS</t>
  </si>
  <si>
    <t>RIESGO DE CONTROL FISCAL DETECTADO</t>
  </si>
  <si>
    <t>TAMAÑO MÍNIMO DE LA MUESTRA</t>
  </si>
  <si>
    <t>CUMPLE LA MUESTRA</t>
  </si>
  <si>
    <t xml:space="preserve">VALOR PAGADO </t>
  </si>
  <si>
    <t>VALOR SUSCRITO</t>
  </si>
  <si>
    <t>VALOR PAGADO</t>
  </si>
  <si>
    <t>% PARTICIPACIÓN</t>
  </si>
  <si>
    <t xml:space="preserve">VALOR AUDITADO </t>
  </si>
  <si>
    <t xml:space="preserve">CUANTÍA DEL HALLAZGO FISCAL </t>
  </si>
  <si>
    <t>Fiducia 1</t>
  </si>
  <si>
    <t>Fiducia 12</t>
  </si>
  <si>
    <t>Del 01-12-2022 al 19-08-2024</t>
  </si>
  <si>
    <t>jkjdkfjkfjkdjjfkj</t>
  </si>
  <si>
    <t>kkkk</t>
  </si>
  <si>
    <t>jjj</t>
  </si>
  <si>
    <t>kkk</t>
  </si>
  <si>
    <r>
      <t xml:space="preserve">MATERIALIDAD </t>
    </r>
    <r>
      <rPr>
        <b/>
        <sz val="12"/>
        <color indexed="8"/>
        <rFont val="Arial"/>
        <family val="2"/>
      </rPr>
      <t>PARA CONCEPTO GASTO PÚBLICO</t>
    </r>
  </si>
  <si>
    <t>Presupuesto POAI para la vigencia</t>
  </si>
  <si>
    <t>Presupuesto Disponible</t>
  </si>
  <si>
    <t>Instrumento para la calificación de la gestión fiscal
Proceso de Gasto Público
Pruebas Analíticas</t>
  </si>
  <si>
    <t>Instrumento para la calificación de la gestión fiscal
Proceso de Gasto Público
Materialidad</t>
  </si>
  <si>
    <t>Instrumento para la calificación de la gestión fiscal
Proceso de gasto público
Hoja de calificación</t>
  </si>
  <si>
    <t>Auditoría Financiera, de Gestión y Resultados</t>
  </si>
  <si>
    <t>O1201 Disposición de activos</t>
  </si>
  <si>
    <t>desarrollo econimo</t>
  </si>
  <si>
    <t>ipes</t>
  </si>
  <si>
    <t xml:space="preserve">ins dis turismo </t>
  </si>
  <si>
    <t>CON GASTOS</t>
  </si>
  <si>
    <t>g</t>
  </si>
  <si>
    <t>gastos</t>
  </si>
  <si>
    <t>no</t>
  </si>
  <si>
    <t>si</t>
  </si>
  <si>
    <t xml:space="preserve">Instrumento para la calificación de la gestión fiscal
Proceso Plan Estratégico </t>
  </si>
  <si>
    <t>Saldo a dic 31 del 2024</t>
  </si>
  <si>
    <t>Saldo a dic 31 del 2023</t>
  </si>
  <si>
    <t>CAJA</t>
  </si>
  <si>
    <t>INVERSIONES DE ADMINISTRACION DE LIQUIDEZ A COSTO</t>
  </si>
  <si>
    <t>INVERSIONES DE ADMINISTRACION DE LIQUIDEZ AL COSTO</t>
  </si>
  <si>
    <t>INGRESOS NO TRIBUTARIOS</t>
  </si>
  <si>
    <t>TRANSFERENCIAS POR COBRAR</t>
  </si>
  <si>
    <t>SENTENCIAS A FAVOR DE LA ENTIDAD</t>
  </si>
  <si>
    <t>DETERIORO ACUMULADO DE CUENTAS POR COBRAR (CR)</t>
  </si>
  <si>
    <t>MERCANCÍAS EN EXISTENCIA</t>
  </si>
  <si>
    <t>EN PODER DE TERCEROS</t>
  </si>
  <si>
    <t>BIENES MUEBLES EN BODEGA</t>
  </si>
  <si>
    <t>PROPIEDADES, PLANTA Y EQUIPO NO EXPLOTADOS</t>
  </si>
  <si>
    <t>REDES, LINEAS Y CABLES</t>
  </si>
  <si>
    <t>DETERIORO ACUMULADO DE INVENTARIOS (CR)</t>
  </si>
  <si>
    <t>EQUIPOS DE TRANSPORTE, TRACCION Y ELEVACION</t>
  </si>
  <si>
    <t>BIENES DE USO PÚBLICO HISTÓRICO Y CULTURALES EN</t>
  </si>
  <si>
    <t>BIENES DE USO PUBLICO EN SERVICIO</t>
  </si>
  <si>
    <t>PLAN DE ACTIVOS PARA BENEFICIOS A EMPLEADOS A LARGO</t>
  </si>
  <si>
    <t>AVANCES Y ANTICIPOS ENTREGADOS</t>
  </si>
  <si>
    <t>DEPÓSITOS ENTREGADOS EN GARANTÍA</t>
  </si>
  <si>
    <t>ACTIVOS INTANGIBLES</t>
  </si>
  <si>
    <t>AMORTIZACION ACUMULADA DE ACTIVOS INTANGIBLES (CR)</t>
  </si>
  <si>
    <t>DETERIORO ACUMULADO DE ACTIVOS INTANGIBLES (CR)</t>
  </si>
  <si>
    <t>EQUIPOS DE COMUNICACIÓN Y COMPUTACIÓN</t>
  </si>
  <si>
    <t>EQUIPOS DE COMEDOR, COCINA, DESPENSA Y HOTELERÍA</t>
  </si>
  <si>
    <t>DETERIORO ACUMULADO DE PROPIEDADES, PLANTA Y EQUIPO</t>
  </si>
  <si>
    <t>DEPRECIACIÓN ACUMULADA DE BIENES DE USO PÚBLICO (CR)</t>
  </si>
  <si>
    <t xml:space="preserve">DERECHOS DE COMPENSACIONES POR IMPUESTOS Y RECURSOS </t>
  </si>
  <si>
    <t>ENTREGADOS EN ADMINISTRACION</t>
  </si>
  <si>
    <t>ADQUISICION DE BIENES Y SERVICIOS NACIONALES</t>
  </si>
  <si>
    <t>RECURSOS A FAVOR DE TERCEROS</t>
  </si>
  <si>
    <t>RETENCION EN LA FUENTE E IMPUESTO DE TIMBRE</t>
  </si>
  <si>
    <t>CRÉDITOS JUDICIALES</t>
  </si>
  <si>
    <t>BENEFICIOS A LOS EMPLEADOS A CORTO PLAZO</t>
  </si>
  <si>
    <t>BENEFICIOS A LOS EMPLEADOS A LARGO PLAZO</t>
  </si>
  <si>
    <t>DEPÓSITOS RECIBIDOS EN GARANTÍA</t>
  </si>
  <si>
    <t>RESULTADO DE EJERCICIOS ANTERIORES</t>
  </si>
  <si>
    <t>DESCUENTOS DE NOMINA</t>
  </si>
  <si>
    <t>IMPUESTOS, CONTRIBUCIONES Y TASAS POR PAGAR</t>
  </si>
  <si>
    <t>DEPRECIACION ACUMULADA DE PROPIEDADES, PLANTA Y EQUIPO</t>
  </si>
  <si>
    <t>ACTIVOS DIFERIDOS</t>
  </si>
  <si>
    <t>ACTIVOS CONTINGENTES</t>
  </si>
  <si>
    <t>DEUDORAS DE CONTROL</t>
  </si>
  <si>
    <t>DEUDORAS POR CONTRA (CR)</t>
  </si>
  <si>
    <t>PASIVOS CONTINGENTES</t>
  </si>
  <si>
    <t>ACREEDORAS DE CONTROL</t>
  </si>
  <si>
    <t>ACREEDORAS POR CONTRA (DB)</t>
  </si>
  <si>
    <t>NO TRIBUTARIOS</t>
  </si>
  <si>
    <t>DEVOLUCIONES Y DESCUENTOS (DB)</t>
  </si>
  <si>
    <t>OTRAS TRANSFERENCIAS</t>
  </si>
  <si>
    <t>FONDOS RECIBIDOS</t>
  </si>
  <si>
    <t>SUELDOS Y SALARIOS</t>
  </si>
  <si>
    <t>CONTRIBUCIONES EFECTIVAS</t>
  </si>
  <si>
    <t>APORTES SOBRE LA NÓMINA</t>
  </si>
  <si>
    <t>PRESTACIONES SOCIALES</t>
  </si>
  <si>
    <t>GASTOS DE PERSONAL DIVERSOS</t>
  </si>
  <si>
    <t>GENERALES</t>
  </si>
  <si>
    <t>IMPUESTOS, CONTRIBUCIONES Y TASAS</t>
  </si>
  <si>
    <t>DETERIORO DE CUENTAS POR COBRAR</t>
  </si>
  <si>
    <t>DETERIORO DE INVENTARIOS</t>
  </si>
  <si>
    <t>DETERIORO DE PROPIEDADES, PLANTA Y EQUIPO</t>
  </si>
  <si>
    <t>DEPRECIACIÓN DE PROPIEDADES, PLANTA Y EQUIPO</t>
  </si>
  <si>
    <t>DEPRECIACIÓN DE BIENES DE USO PÚBLICO</t>
  </si>
  <si>
    <t>AMORTIZACIÓN DE ACTIVOS INTANGIBLES</t>
  </si>
  <si>
    <t>PROVISIÓN LITIGIOS Y DEMANDAS</t>
  </si>
  <si>
    <t>SUBVENCIONES</t>
  </si>
  <si>
    <t>OPERACIONES DE ENLACE</t>
  </si>
  <si>
    <t>OPERACIONES SIN FLUJO DE EFECTIVO</t>
  </si>
  <si>
    <t>FINANCIEROS</t>
  </si>
  <si>
    <t>INGRESOS DIVERSOS</t>
  </si>
  <si>
    <t>REVERSION DE PERDIDAS POR DETERIORO DE VALOR</t>
  </si>
  <si>
    <t>REVERSION DE PROVISIONES</t>
  </si>
  <si>
    <t>COMISIONES</t>
  </si>
  <si>
    <t>GASTOS DIVERSOS</t>
  </si>
  <si>
    <t>DEVOLUCIONES Y DESCUENTOS INGRESOS FISCALES</t>
  </si>
  <si>
    <t>Saldo a dic 31 2023</t>
  </si>
  <si>
    <t>N/A</t>
  </si>
  <si>
    <t>Participación % En función al activo, pasivo, patrimonio, ingresos, costos y gastos s/g corresponda</t>
  </si>
  <si>
    <t>CUENTAS Y SALDOS PRESENTADOS A DICIEMBRE 31 DE _2024______</t>
  </si>
  <si>
    <t>No presena movimiento.</t>
  </si>
  <si>
    <t>Esta cuenta presenta una variacion muy leve y sin cambio sustancial aparente</t>
  </si>
  <si>
    <t>La caja menor solo tiene una vigencia de un año, y se cancela al finalizar el mismo, presenta una variacion negativa significativa de un año a otro</t>
  </si>
  <si>
    <t>Originada principalmente por los recursos con liquidez inmediata, cuya cuantia representativa esta en los depositos en instituciones financieras. Su variacion es negativa con respecto al año anterior.</t>
  </si>
  <si>
    <t>Durante la vigencia 2023 los ingresos totales presentan un aumento del 18,11% esto por la venta de servicios, la remuneracion que recibe la empresa derivado de la calidad del ente gestor del sistema, ingresos por explotracion colateral del sistema, comercializacion y enajenacion de bienes y otros ingresos.</t>
  </si>
  <si>
    <t>Dentro de este grupo se registran los gastos de administracion y de operación, deterioro, depreciaciones, amortizaciones y provisiones, y otros gastos en que incurrio la empresa originados en la prestacion del servcio de la TMSA, para la vigencia 2023 estos gastos sufrieron un leve incremento de 1,73% con una variacion absoluta de $7.234.730.924.</t>
  </si>
  <si>
    <t>La composición de esta cuenta corresponde principalmente por los recursos invertidos en acciones en la empresa Transmilenio S.A.
E.P., Terminal de Transporte S.A.
E.P., ETB S.A. E.S.P., Metro de Bogot· S.A. No presenta variacion respecto al 2023.</t>
  </si>
  <si>
    <t>Esta cuenta contable reconoce como inventarios, los activos que resultan como sobrantes, de los predios que se compran para la construcción de la infraestructura vial, en desarrollo de su misionalidad y que son reportados por la Dirección Técnica de Predios. Se miden por el costo de adquisición relativo al costo del terreno, su variacion negativa con respecto al año anterior fue muy leve.</t>
  </si>
  <si>
    <t>Corresponde al reconocimiento de los derechos adquiridos por la entidad en desarrollo de sus actividades,entre otros esta representado por los ingresos tributarios, multas y sanciones, intereses, contribuciones, otas cuenats por cobrar, transferencias por cobrar, SGR, sentencias a favor de la entidad, indemnizaciones.</t>
  </si>
  <si>
    <t>La cuenta 1600, Propiedad Planta y equipo, presenta una variación con comportamientos negativos respecto al año anterior, observandose la disminución del grupo de Propiedad, Planta y Equipo, principalmente por la depreciación, bajas de bienes muebles, incremento por las adquisiciones realizadas en la
vigencia,  asÌ como la reversión por deterioro y depreciación.</t>
  </si>
  <si>
    <t>La cuenta 1700, Bienes de Uso Público Histórico y cultural están conformados por el costo de las obras civiles de las vÌas, puentes peatonales y vehiculares, tanto en construcción como los que han sido puestos al servicio de la comunidad. presenta un aumento porcentual representivo respecto al año anterior en 35%.</t>
  </si>
  <si>
    <t>Esta cuenta, presenta una variación porcentual negatica del -0,4% y una variación absoluta de $3.960.224.</t>
  </si>
  <si>
    <t>La cuenta 1905 Bienes y servicios pagados por anticipado presento una variación porcentual negativa del 100%.</t>
  </si>
  <si>
    <t>Esta cuenta, presenta una variación porcentual negativa del -10,7% y una variación absoluta de -$26.798.985.007.</t>
  </si>
  <si>
    <t>No presetna cambio porcentual</t>
  </si>
  <si>
    <t>No presenta movimiento.</t>
  </si>
  <si>
    <t>Martha Ayala Rojas</t>
  </si>
  <si>
    <t>Jaison Julio López - Profesional Universitario 219-03</t>
  </si>
  <si>
    <r>
      <rPr>
        <b/>
        <sz val="11"/>
        <color theme="1"/>
        <rFont val="Arial"/>
        <family val="2"/>
      </rPr>
      <t>Nota 3:</t>
    </r>
    <r>
      <rPr>
        <sz val="11"/>
        <color theme="1"/>
        <rFont val="Arial"/>
        <family val="2"/>
      </rPr>
      <t xml:space="preserve"> Se deberán considerar dentro de los criterios base para la selección de la muestra, los resultados de la aplicación del PVCGF-15-11 Instrumento de Riesgos y Controles.</t>
    </r>
  </si>
  <si>
    <t>Esta cuenta, presenta una leve  variación porcentual del 7,9% y una variación absoluta de $2.312.638</t>
  </si>
  <si>
    <t>Esta cuenta, presenta una variación porcentual importante  del 2.695% y una variación absoluta positiva de $1.248.190.495.729, este rubro corresponde a los recursos entregados por el distrito Capital para la cofinanciacion de proyectos de infraestructura.</t>
  </si>
  <si>
    <t>Estas cuenta presenta un aleve disminución porcentual de un año a otro, representado en-0,7% y una variación absoluta de -$7.560.000.</t>
  </si>
  <si>
    <t>Al compararse el saldo con corte al 31 de diciembre de la cuenta 1970, de las vigencias 2024- 2023, se presenta una variación porcentual del 31% y una variación absoluta de $3.517.440.517, originado principalmente por la compra y adquisicion de las licencias y softwares, sumado a las que continuan en uso y que cumplen con la politica de activos.</t>
  </si>
  <si>
    <t>Esta cuenta presenta una variación porcentual del 100% respecto del año anterior, este rubro corresponde a las cantidades de impuestos a la renta recuperables en ejercicios futuros relacionados con: diferencias temporarias deducibles; pérdidas tributarias acumuladas no utilizadas; y créditos tributarios acumulados no utilizados.</t>
  </si>
  <si>
    <t>Esta cuenta, presenta una disminución porcentual del -47% y una variación absoluta de -$46.329.906, este rubro corresponde cuentas por pagar por concepto de desembolsos de acuerdo de voluntades.</t>
  </si>
  <si>
    <t>Esta cuenta, presenta una disminución negativa del  -17% y una variación absoluta de -$1.816.198.381.</t>
  </si>
  <si>
    <t>Esta cuenta presenta una variacion positiva del 8,2% y sin cambio sustancial</t>
  </si>
  <si>
    <t>Esta cuenta presenta una variacion porcentual negativa del -11% y con variacion absoluta de -$1.441.480.416.</t>
  </si>
  <si>
    <t>Esta cuenta, presenta una variación porcentual negativa del -1,7% y una variación absoluta de -$7.543.728</t>
  </si>
  <si>
    <t>Esta cuenta, presenta una variación porcentual importante  del 61%  y una variación absoluta de $2.892.201.475; corresponde al reconocimiento de servicios recibidos al cierre de la vigencia no facturados por los proveedores y/o contratistas, en aplicación del principio de devengo.</t>
  </si>
  <si>
    <t>Esta cuenta, presenta una variación porcentual del 20% y una variación absoluta de $3.779.154.534.</t>
  </si>
  <si>
    <t>Esta cuenta, presenta una variación porcentual negativa del -28% y una variación absoluta de -$24.719.917.310.</t>
  </si>
  <si>
    <t>Esta cuenta, presenta una variación porcentual representativa del 582% y una variación absoluta de $1.430.353.929; comprende el saldo de los recursos recibidos en calidad de administracion provenientes de convenios con entidades publicas y otros entes privados a 31 de diciembre de 2023 y 2024.</t>
  </si>
  <si>
    <t>Esta cuenta, presenta una variación porcentual representativa del 35% y una variación absoluta de $35.315.030.040; comprende el saldo de los recursos recibidos en calidad de administracion provenientes de convenios con entidades publicas y otros entes privados a 31 de diciembre de 2023 y 2024.</t>
  </si>
  <si>
    <t>Esta cuenta, presenta una variación porcentual del 15% y una variación absoluta de $10.185.412.683.</t>
  </si>
  <si>
    <t>Esta cuenta, presenta una variación porcentual negativa del -53%  y una variación absoluta de -$3.289.349.872; corresponde al reconocimiento de servicios recibidos al cierre de la vigencia no facturados por los proveedores y/o contratistas, en aplicación del principio de devengo.</t>
  </si>
  <si>
    <t>Esta cuenta, presenta una variación porcentual negtiv del -21% y una variación absoluta de -$28.331.574.621; por transferencias condicionadas</t>
  </si>
  <si>
    <t>Esta cuenta, presenta una variación porcentual nebativa-90% y una variación absoluta de -$14.762.666.965.142; correspondiente a la utilidad del ejercicio</t>
  </si>
  <si>
    <t>Esta cuenta, presenta una variación porcentual representativa del 43% y una variación absoluta de $2.155.996.472.881; correspondiente a la utilidad de los ejercicios anteriores</t>
  </si>
  <si>
    <t>Esta cuenta, presenta una variación porcentual negativa del -2%  y una variación absoluta de -$6.312.945.087.</t>
  </si>
  <si>
    <t>Esta cuenta, presenta una variación porcentual del 20% y una variación absoluta de $10.280.653.272.</t>
  </si>
  <si>
    <t>Esta cuenta, presenta una variación porcentual negativa del -31% y una variación absoluta de -$1.171.971.906.218.</t>
  </si>
  <si>
    <t>Esta cuenta, presenta una variación porcentual del 38% y una variación absoluta de $776.260.781.</t>
  </si>
  <si>
    <t>MEDIIO</t>
  </si>
  <si>
    <t>Lineamentos del PAE 2025</t>
  </si>
  <si>
    <t xml:space="preserve">Verificar este valor que corresponde a deudas pendientes de recuperar con su respectiva antigüedad. Realizar seguimiento durante la vigencia 2024 la depuración y saneamiento contable. Esta auditoría verificará la imputación y registro contable resultado de la depuración en caso de efectuarse. </t>
  </si>
  <si>
    <t>Es necesario verificar su tratamiento contable.</t>
  </si>
  <si>
    <t>Cuentas presentan una participación dentro del activo  en 35% y Materialidad de Planeación Cuantitativa de Estados Financieros</t>
  </si>
  <si>
    <t>Estas cuentas contables presentan una varación importantet respecto del año anterior.</t>
  </si>
  <si>
    <t>&gt;80%</t>
  </si>
  <si>
    <t>&gt;40%</t>
  </si>
  <si>
    <t xml:space="preserve">Es necesario verificar su tratamiento y movimiento contable. </t>
  </si>
  <si>
    <t>Durante la vigencia 2024 los ingresos por transferencias y fondos recibidos presentan un leve aumento.</t>
  </si>
  <si>
    <t>Nombre: Jaison Julio López</t>
  </si>
  <si>
    <t>Cargo: Profesional Universitario 219-03</t>
  </si>
  <si>
    <t>Nombre:  Martha Ayola Rojas</t>
  </si>
  <si>
    <t>Cargo: Gerente de Auditoría</t>
  </si>
  <si>
    <t>Eficiente /Adecuado</t>
  </si>
  <si>
    <t>Ineficiente /Inadecuado</t>
  </si>
  <si>
    <t>ESTADOS FINANCIEROS Sistema Integrado de Transporte Público - SITP</t>
  </si>
  <si>
    <t>Pasivos</t>
  </si>
  <si>
    <t>Patrimonio</t>
  </si>
  <si>
    <t>Gastos</t>
  </si>
  <si>
    <t>Costos y Gastos</t>
  </si>
  <si>
    <t>Total</t>
  </si>
  <si>
    <t>Ponderación Proceso</t>
  </si>
  <si>
    <t>Calificación Contable (Opinión) (%)</t>
  </si>
  <si>
    <t>Entidad</t>
  </si>
  <si>
    <t>% Ponderación calculada definitiva (Decim)</t>
  </si>
  <si>
    <t>% Ponderación calculada definitiva (%)</t>
  </si>
  <si>
    <t>Variable: Participación del total de Activos</t>
  </si>
  <si>
    <t>Ponderación MacroProceso</t>
  </si>
  <si>
    <t>% Peso Macroproceso</t>
  </si>
  <si>
    <t>Desempeño Financiero Transmilenio S.A.</t>
  </si>
  <si>
    <t>Participación (%) según el total de los Activos</t>
  </si>
  <si>
    <t>Participación (decimal) según el total de los Activos</t>
  </si>
  <si>
    <t>Calificación Contable (Opinión) (decimal)</t>
  </si>
  <si>
    <t xml:space="preserve">Valor Material en NIVEL 1 </t>
  </si>
  <si>
    <t>Valor Material en NIVEL 2</t>
  </si>
  <si>
    <t>Valor Material en NIVEL 3</t>
  </si>
  <si>
    <t>Fondo de Pensiones Públicas de Bogotá – FPPB</t>
  </si>
  <si>
    <t>Ente Gestor (Transmilenio S.A. o FONCEP)</t>
  </si>
  <si>
    <t>ESTADOS FINANCIEROS Fondo de Pensiones Públicas de Bogotá – FPPB</t>
  </si>
  <si>
    <t>Sistema Integrado de Transporte Público -SITP o Fondo de Pensiones Públicas de Bogotá – FPPB</t>
  </si>
  <si>
    <t>ESTADOS FINANCIEROS FONCEP</t>
  </si>
  <si>
    <t>*Solo aplica para los Estados Financieros del Sistema Intregado de Transporte Público-SITP (Direción Sector Movilidad) y el Fondo de Pensiones Públicas de Bogotá – FPPB (Dirección Sector Hacienda)</t>
  </si>
  <si>
    <t>DESEMPEÑO FINANCIERO FONCEP</t>
  </si>
  <si>
    <t>Versión: 3.0</t>
  </si>
  <si>
    <t>Código formato: PVCGF-04-09
Versión: 3.0</t>
  </si>
  <si>
    <t>Código formato: PVCGF-04-09    
                                                    Versión: 3.0</t>
  </si>
  <si>
    <t>Código formato: PVCGF-04-09     
                                                                                   Versión: 3.0</t>
  </si>
  <si>
    <t>Código formato: PVCGF-04-09        
                                                                         Versión: 3.0</t>
  </si>
  <si>
    <t xml:space="preserve">ESTADOS FINANCIEROS Transmilenio S.A. </t>
  </si>
  <si>
    <t>DESEMPEÑO FINANCIERO Transmilenio S.A.</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</si>
</sst>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0_-;\-* #,##0_-;_-* &quot;-&quot;_-;_-@_-"/>
    <numFmt numFmtId="44" formatCode="_-&quot;$&quot;* #,##0.00_-;\-&quot;$&quot;* #,##0.00_-;_-&quot;$&quot;* &quot;-&quot;??_-;_-@_-"/>
    <numFmt numFmtId="43" formatCode="_-* #,##0.00_-;\-* #,##0.00_-;_-* &quot;-&quot;??_-;_-@_-"/>
    <numFmt numFmtId="164" formatCode="&quot;$&quot;\ #,##0;\-&quot;$&quot;\ #,##0"/>
    <numFmt numFmtId="165" formatCode="&quot;$&quot;\ #,##0;[Red]\-&quot;$&quot;\ #,##0"/>
    <numFmt numFmtId="166" formatCode="&quot;$&quot;\ #,##0.00;\-&quot;$&quot;\ #,##0.00"/>
    <numFmt numFmtId="167" formatCode="&quot;$&quot;\ #,##0.00;[Red]\-&quot;$&quot;\ #,##0.00"/>
    <numFmt numFmtId="168" formatCode="_-&quot;$&quot;\ * #,##0_-;\-&quot;$&quot;\ * #,##0_-;_-&quot;$&quot;\ * &quot;-&quot;_-;_-@_-"/>
    <numFmt numFmtId="169" formatCode="_-&quot;$&quot;\ * #,##0.00_-;\-&quot;$&quot;\ * #,##0.00_-;_-&quot;$&quot;\ * &quot;-&quot;??_-;_-@_-"/>
    <numFmt numFmtId="170" formatCode="_(&quot;$&quot;* #,##0.00_);_(&quot;$&quot;* \(#,##0.00\);_(&quot;$&quot;* &quot;-&quot;??_);_(@_)"/>
    <numFmt numFmtId="171" formatCode="_(* #,##0.00_);_(* \(#,##0.00\);_(* &quot;-&quot;??_);_(@_)"/>
    <numFmt numFmtId="172" formatCode="_-* #,##0_-;\-* #,##0_-;_-* &quot;-&quot;??_-;_-@_-"/>
    <numFmt numFmtId="173" formatCode="_-[$$-240A]* #,##0.00_-;\-[$$-240A]* #,##0.00_-;_-[$$-240A]* &quot;-&quot;??_-;_-@_-"/>
    <numFmt numFmtId="174" formatCode="d/mm/yyyy;@"/>
    <numFmt numFmtId="175" formatCode="0.0%"/>
    <numFmt numFmtId="176" formatCode="&quot;$&quot;#,##0.00"/>
    <numFmt numFmtId="177" formatCode="0.000%"/>
    <numFmt numFmtId="178" formatCode="0.0"/>
    <numFmt numFmtId="179" formatCode="_(&quot;$&quot;* #,##0_);_(&quot;$&quot;* \(#,##0\);_(&quot;$&quot;* &quot;-&quot;??_);_(@_)"/>
    <numFmt numFmtId="180" formatCode="_-&quot;$&quot;* #,##0_-;\-&quot;$&quot;* #,##0_-;_-&quot;$&quot;* &quot;-&quot;??_-;_-@_-"/>
    <numFmt numFmtId="181" formatCode="&quot;$&quot;#,##0"/>
    <numFmt numFmtId="182" formatCode="_-&quot;$&quot;\ * #,##0_-;\-&quot;$&quot;\ * #,##0_-;_-&quot;$&quot;\ * &quot;-&quot;??_-;_-@_-"/>
    <numFmt numFmtId="183" formatCode="_(&quot;$&quot;\ * #,##0.00_);_(&quot;$&quot;\ * \(#,##0.00\);_(&quot;$&quot;\ * &quot;-&quot;??_);_(@_)"/>
    <numFmt numFmtId="184" formatCode="0;\-0;;@"/>
    <numFmt numFmtId="185" formatCode="_-* #,##0.0_-;\-* #,##0.0_-;_-* &quot;-&quot;??_-;_-@_-"/>
    <numFmt numFmtId="186" formatCode="&quot;$&quot;\ #,##0.00"/>
    <numFmt numFmtId="187" formatCode="0.000000"/>
    <numFmt numFmtId="188" formatCode="_-* #,##0.000000_-;\-* #,##0.000000_-;_-* &quot;-&quot;_-;_-@_-"/>
    <numFmt numFmtId="189" formatCode="#,##0.0"/>
    <numFmt numFmtId="190" formatCode="_(* #,##0_);_(* \(#,##0\);_(* &quot;-&quot;??_);_(@_)"/>
    <numFmt numFmtId="191" formatCode="_-* #,##0.00_-;\-* #,##0.00_-;_-* &quot;-&quot;_-;_-@_-"/>
  </numFmts>
  <fonts count="18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rgb="FF9C0006"/>
      <name val="Calibri"/>
      <family val="2"/>
      <scheme val="minor"/>
    </font>
    <font>
      <sz val="11"/>
      <color indexed="8"/>
      <name val="Calibri"/>
      <family val="2"/>
    </font>
    <font>
      <sz val="10"/>
      <name val="Arial"/>
      <family val="2"/>
    </font>
    <font>
      <b/>
      <sz val="12"/>
      <name val="Arial"/>
      <family val="2"/>
    </font>
    <font>
      <b/>
      <sz val="14"/>
      <name val="Arial"/>
      <family val="2"/>
    </font>
    <font>
      <b/>
      <sz val="9"/>
      <name val="Arial"/>
      <family val="2"/>
    </font>
    <font>
      <sz val="12"/>
      <name val="Arial"/>
      <family val="2"/>
    </font>
    <font>
      <sz val="11"/>
      <color theme="1"/>
      <name val="Arial"/>
      <family val="2"/>
    </font>
    <font>
      <b/>
      <sz val="9"/>
      <color indexed="81"/>
      <name val="Tahoma"/>
      <family val="2"/>
    </font>
    <font>
      <sz val="9"/>
      <color indexed="81"/>
      <name val="Tahoma"/>
      <family val="2"/>
    </font>
    <font>
      <b/>
      <sz val="18"/>
      <name val="Arial"/>
      <family val="2"/>
    </font>
    <font>
      <sz val="11"/>
      <color theme="0"/>
      <name val="Calibri"/>
      <family val="2"/>
      <scheme val="minor"/>
    </font>
    <font>
      <b/>
      <sz val="12"/>
      <color theme="1"/>
      <name val="Arial"/>
      <family val="2"/>
    </font>
    <font>
      <sz val="12"/>
      <color theme="1"/>
      <name val="Arial"/>
      <family val="2"/>
    </font>
    <font>
      <sz val="14"/>
      <color theme="1"/>
      <name val="Arial"/>
      <family val="2"/>
    </font>
    <font>
      <b/>
      <sz val="14"/>
      <color theme="1"/>
      <name val="Arial"/>
      <family val="2"/>
    </font>
    <font>
      <b/>
      <sz val="12"/>
      <color theme="0"/>
      <name val="Arial"/>
      <family val="2"/>
    </font>
    <font>
      <b/>
      <sz val="18"/>
      <color theme="1"/>
      <name val="Arial"/>
      <family val="2"/>
    </font>
    <font>
      <b/>
      <sz val="11"/>
      <color theme="1"/>
      <name val="Arial"/>
      <family val="2"/>
    </font>
    <font>
      <u/>
      <sz val="11"/>
      <color theme="10"/>
      <name val="Calibri"/>
      <family val="2"/>
      <scheme val="minor"/>
    </font>
    <font>
      <sz val="11"/>
      <name val="Arial"/>
      <family val="2"/>
    </font>
    <font>
      <b/>
      <sz val="11"/>
      <name val="Arial"/>
      <family val="2"/>
    </font>
    <font>
      <b/>
      <sz val="14"/>
      <color indexed="8"/>
      <name val="Arial"/>
      <family val="2"/>
    </font>
    <font>
      <b/>
      <sz val="10"/>
      <color rgb="FF000000"/>
      <name val="Arial"/>
      <family val="2"/>
    </font>
    <font>
      <b/>
      <sz val="9"/>
      <color rgb="FF000000"/>
      <name val="Arial"/>
      <family val="2"/>
    </font>
    <font>
      <sz val="9"/>
      <color rgb="FF000000"/>
      <name val="Arial"/>
      <family val="2"/>
    </font>
    <font>
      <sz val="10"/>
      <color rgb="FF000000"/>
      <name val="Arial"/>
      <family val="2"/>
    </font>
    <font>
      <sz val="8"/>
      <color rgb="FF000000"/>
      <name val="Segoe UI"/>
      <family val="2"/>
    </font>
    <font>
      <b/>
      <sz val="10"/>
      <color theme="1"/>
      <name val="Arial"/>
      <family val="2"/>
    </font>
    <font>
      <sz val="9"/>
      <color theme="1"/>
      <name val="Arial"/>
      <family val="2"/>
    </font>
    <font>
      <b/>
      <sz val="11"/>
      <color rgb="FF000000"/>
      <name val="Arial"/>
      <family val="2"/>
    </font>
    <font>
      <b/>
      <sz val="11"/>
      <color theme="1" tint="0.249977111117893"/>
      <name val="Arial"/>
      <family val="2"/>
    </font>
    <font>
      <b/>
      <u/>
      <sz val="11"/>
      <color theme="1"/>
      <name val="Arial"/>
      <family val="2"/>
    </font>
    <font>
      <sz val="11"/>
      <color rgb="FF000000"/>
      <name val="Arial"/>
      <family val="2"/>
    </font>
    <font>
      <sz val="11"/>
      <color theme="0"/>
      <name val="Arial"/>
      <family val="2"/>
    </font>
    <font>
      <sz val="11"/>
      <color theme="0" tint="-0.14999847407452621"/>
      <name val="Arial"/>
      <family val="2"/>
    </font>
    <font>
      <b/>
      <sz val="16"/>
      <name val="Arial"/>
      <family val="2"/>
    </font>
    <font>
      <sz val="9"/>
      <color theme="1" tint="0.14999847407452621"/>
      <name val="Arial"/>
      <family val="2"/>
    </font>
    <font>
      <b/>
      <sz val="9"/>
      <color theme="1"/>
      <name val="Arial"/>
      <family val="2"/>
    </font>
    <font>
      <b/>
      <sz val="22"/>
      <name val="Arial"/>
      <family val="2"/>
    </font>
    <font>
      <sz val="10"/>
      <color theme="1"/>
      <name val="Arial"/>
      <family val="2"/>
    </font>
    <font>
      <b/>
      <sz val="26"/>
      <name val="Arial"/>
      <family val="2"/>
    </font>
    <font>
      <sz val="14"/>
      <name val="Arial"/>
      <family val="2"/>
    </font>
    <font>
      <sz val="8"/>
      <name val="Arial"/>
      <family val="2"/>
    </font>
    <font>
      <b/>
      <sz val="11"/>
      <color theme="0"/>
      <name val="Arial"/>
      <family val="2"/>
    </font>
    <font>
      <sz val="10"/>
      <color theme="0"/>
      <name val="Arial"/>
      <family val="2"/>
    </font>
    <font>
      <sz val="10"/>
      <color indexed="8"/>
      <name val="Arial"/>
      <family val="2"/>
    </font>
    <font>
      <sz val="10"/>
      <color rgb="FFFF0000"/>
      <name val="Arial"/>
      <family val="2"/>
    </font>
    <font>
      <b/>
      <sz val="11"/>
      <color theme="0" tint="-4.9989318521683403E-2"/>
      <name val="Arial"/>
      <family val="2"/>
    </font>
    <font>
      <sz val="11"/>
      <color theme="0" tint="-0.499984740745262"/>
      <name val="Arial"/>
      <family val="2"/>
    </font>
    <font>
      <sz val="11"/>
      <color rgb="FF9C6500"/>
      <name val="Calibri"/>
      <family val="2"/>
      <scheme val="minor"/>
    </font>
    <font>
      <b/>
      <sz val="11"/>
      <color theme="0"/>
      <name val="Calibri"/>
      <family val="2"/>
      <scheme val="minor"/>
    </font>
    <font>
      <b/>
      <sz val="11"/>
      <color theme="1"/>
      <name val="Calibri"/>
      <family val="2"/>
      <scheme val="minor"/>
    </font>
    <font>
      <sz val="12"/>
      <color rgb="FFFF0000"/>
      <name val="Arial"/>
      <family val="2"/>
    </font>
    <font>
      <b/>
      <sz val="11"/>
      <name val="Calibri"/>
      <family val="2"/>
    </font>
    <font>
      <sz val="10"/>
      <color theme="1"/>
      <name val="Calibri"/>
      <family val="2"/>
      <scheme val="minor"/>
    </font>
    <font>
      <sz val="11"/>
      <color rgb="FFFF0000"/>
      <name val="Arial"/>
      <family val="2"/>
    </font>
    <font>
      <sz val="11"/>
      <name val="Calibri"/>
      <family val="2"/>
    </font>
    <font>
      <b/>
      <sz val="10"/>
      <color indexed="8"/>
      <name val="Arial"/>
      <family val="2"/>
    </font>
    <font>
      <sz val="16"/>
      <color theme="1"/>
      <name val="Calibri"/>
      <family val="2"/>
      <scheme val="minor"/>
    </font>
    <font>
      <b/>
      <sz val="9"/>
      <color rgb="FF000000"/>
      <name val="Tahoma"/>
      <family val="2"/>
    </font>
    <font>
      <sz val="9"/>
      <color rgb="FF000000"/>
      <name val="Tahoma"/>
      <family val="2"/>
    </font>
    <font>
      <sz val="8"/>
      <color theme="1"/>
      <name val="Arial"/>
      <family val="2"/>
    </font>
    <font>
      <sz val="6"/>
      <color rgb="FF000000"/>
      <name val="Arial"/>
      <family val="2"/>
    </font>
    <font>
      <sz val="11"/>
      <name val="Calibri"/>
      <family val="2"/>
      <scheme val="minor"/>
    </font>
    <font>
      <b/>
      <sz val="12"/>
      <name val="Calibri"/>
      <family val="2"/>
      <scheme val="minor"/>
    </font>
    <font>
      <b/>
      <sz val="12"/>
      <color indexed="8"/>
      <name val="Arial"/>
      <family val="2"/>
    </font>
    <font>
      <b/>
      <sz val="10"/>
      <name val="Arial"/>
      <family val="2"/>
    </font>
    <font>
      <u/>
      <sz val="10"/>
      <color theme="1"/>
      <name val="Arial"/>
      <family val="2"/>
    </font>
    <font>
      <b/>
      <u/>
      <sz val="10"/>
      <color theme="1"/>
      <name val="Arial"/>
      <family val="2"/>
    </font>
    <font>
      <b/>
      <sz val="12"/>
      <color theme="1"/>
      <name val="Calibri"/>
      <family val="2"/>
      <scheme val="minor"/>
    </font>
    <font>
      <sz val="12"/>
      <color rgb="FF000000"/>
      <name val="Calibri"/>
      <family val="2"/>
      <scheme val="minor"/>
    </font>
    <font>
      <b/>
      <sz val="9"/>
      <color rgb="FF000000"/>
      <name val="Calibri"/>
      <family val="2"/>
      <scheme val="minor"/>
    </font>
    <font>
      <b/>
      <sz val="14"/>
      <color theme="1"/>
      <name val="Calibri"/>
      <family val="2"/>
      <scheme val="minor"/>
    </font>
    <font>
      <b/>
      <sz val="18"/>
      <color theme="1"/>
      <name val="Calibri"/>
      <family val="2"/>
      <scheme val="minor"/>
    </font>
    <font>
      <b/>
      <sz val="9"/>
      <color theme="0"/>
      <name val="Calibri"/>
      <family val="2"/>
      <scheme val="minor"/>
    </font>
    <font>
      <b/>
      <sz val="10"/>
      <color theme="1"/>
      <name val="Calibri"/>
      <family val="2"/>
      <scheme val="minor"/>
    </font>
    <font>
      <b/>
      <sz val="12"/>
      <color indexed="8"/>
      <name val="Calibri"/>
      <family val="2"/>
      <scheme val="minor"/>
    </font>
    <font>
      <sz val="9"/>
      <color theme="0" tint="-0.34998626667073579"/>
      <name val="Calibri"/>
      <family val="2"/>
      <scheme val="minor"/>
    </font>
    <font>
      <b/>
      <sz val="9"/>
      <name val="Calibri"/>
      <family val="2"/>
      <scheme val="minor"/>
    </font>
    <font>
      <b/>
      <sz val="9"/>
      <color theme="1"/>
      <name val="Calibri"/>
      <family val="2"/>
      <scheme val="minor"/>
    </font>
    <font>
      <sz val="9"/>
      <color theme="1"/>
      <name val="Calibri"/>
      <family val="2"/>
      <scheme val="minor"/>
    </font>
    <font>
      <b/>
      <sz val="8"/>
      <name val="Calibri"/>
      <family val="2"/>
      <scheme val="minor"/>
    </font>
    <font>
      <b/>
      <u/>
      <sz val="10"/>
      <color theme="1"/>
      <name val="Calibri"/>
      <family val="2"/>
      <scheme val="minor"/>
    </font>
    <font>
      <b/>
      <sz val="10"/>
      <name val="Calibri"/>
      <family val="2"/>
      <scheme val="minor"/>
    </font>
    <font>
      <b/>
      <u/>
      <sz val="11"/>
      <color theme="1"/>
      <name val="Calibri"/>
      <family val="2"/>
      <scheme val="minor"/>
    </font>
    <font>
      <b/>
      <sz val="11"/>
      <color rgb="FFFF0000"/>
      <name val="Calibri"/>
      <family val="2"/>
      <scheme val="minor"/>
    </font>
    <font>
      <sz val="11"/>
      <color rgb="FF000000"/>
      <name val="Calibri"/>
      <family val="2"/>
      <scheme val="minor"/>
    </font>
    <font>
      <u/>
      <sz val="11"/>
      <color theme="1"/>
      <name val="Calibri"/>
      <family val="2"/>
      <scheme val="minor"/>
    </font>
    <font>
      <sz val="11"/>
      <color indexed="8"/>
      <name val="Calibri"/>
      <family val="2"/>
      <scheme val="minor"/>
    </font>
    <font>
      <u/>
      <sz val="11"/>
      <color indexed="8"/>
      <name val="Calibri"/>
      <family val="2"/>
      <scheme val="minor"/>
    </font>
    <font>
      <b/>
      <sz val="7"/>
      <color theme="1"/>
      <name val="Calibri"/>
      <family val="2"/>
      <scheme val="minor"/>
    </font>
    <font>
      <sz val="11"/>
      <color indexed="81"/>
      <name val="Tahoma"/>
      <family val="2"/>
    </font>
    <font>
      <sz val="14"/>
      <color indexed="81"/>
      <name val="Tahoma"/>
      <family val="2"/>
    </font>
    <font>
      <b/>
      <sz val="11"/>
      <name val="Calibri"/>
      <family val="2"/>
      <scheme val="minor"/>
    </font>
    <font>
      <b/>
      <sz val="8"/>
      <color rgb="FF000000"/>
      <name val="Tahoma"/>
      <family val="2"/>
    </font>
    <font>
      <b/>
      <sz val="8"/>
      <color indexed="81"/>
      <name val="Tahoma"/>
      <family val="2"/>
    </font>
    <font>
      <sz val="8"/>
      <color indexed="81"/>
      <name val="Tahoma"/>
      <family val="2"/>
    </font>
    <font>
      <b/>
      <sz val="10"/>
      <color indexed="81"/>
      <name val="Tahoma"/>
      <family val="2"/>
    </font>
    <font>
      <sz val="10"/>
      <color rgb="FF000000"/>
      <name val="Tahoma"/>
      <family val="2"/>
    </font>
    <font>
      <sz val="10"/>
      <color indexed="81"/>
      <name val="Tahoma"/>
      <family val="2"/>
    </font>
    <font>
      <b/>
      <sz val="10"/>
      <color rgb="FF000000"/>
      <name val="Tahoma"/>
      <family val="2"/>
    </font>
    <font>
      <b/>
      <sz val="11"/>
      <color indexed="8"/>
      <name val="Arial"/>
      <family val="2"/>
    </font>
    <font>
      <sz val="11"/>
      <color theme="0" tint="-0.34998626667073579"/>
      <name val="Arial"/>
      <family val="2"/>
    </font>
    <font>
      <b/>
      <sz val="18"/>
      <color indexed="8"/>
      <name val="Arial"/>
      <family val="2"/>
    </font>
    <font>
      <i/>
      <sz val="12"/>
      <name val="Arial"/>
      <family val="2"/>
    </font>
    <font>
      <b/>
      <u/>
      <sz val="12"/>
      <color indexed="62"/>
      <name val="Arial"/>
      <family val="2"/>
    </font>
    <font>
      <b/>
      <sz val="11"/>
      <color rgb="FFFF0000"/>
      <name val="Arial"/>
      <family val="2"/>
    </font>
    <font>
      <sz val="8"/>
      <color indexed="8"/>
      <name val="Arial"/>
      <family val="2"/>
    </font>
    <font>
      <sz val="11"/>
      <color indexed="8"/>
      <name val="Arial"/>
      <family val="2"/>
    </font>
    <font>
      <u/>
      <sz val="11"/>
      <color indexed="12"/>
      <name val="Arial"/>
      <family val="2"/>
    </font>
    <font>
      <u/>
      <sz val="12"/>
      <color indexed="12"/>
      <name val="Arial"/>
      <family val="2"/>
    </font>
    <font>
      <u/>
      <sz val="11"/>
      <color indexed="10"/>
      <name val="Arial"/>
      <family val="2"/>
    </font>
    <font>
      <b/>
      <u/>
      <sz val="11"/>
      <color indexed="62"/>
      <name val="Arial"/>
      <family val="2"/>
    </font>
    <font>
      <sz val="11"/>
      <color indexed="12"/>
      <name val="Arial"/>
      <family val="2"/>
    </font>
    <font>
      <b/>
      <i/>
      <sz val="16"/>
      <name val="Arial"/>
      <family val="2"/>
    </font>
    <font>
      <sz val="9"/>
      <name val="Arial"/>
      <family val="2"/>
    </font>
    <font>
      <sz val="9"/>
      <color indexed="8"/>
      <name val="Arial"/>
      <family val="2"/>
    </font>
    <font>
      <sz val="12"/>
      <color rgb="FF000000"/>
      <name val="Arial"/>
      <family val="2"/>
    </font>
    <font>
      <b/>
      <u/>
      <sz val="12"/>
      <color theme="1"/>
      <name val="Arial"/>
      <family val="2"/>
    </font>
    <font>
      <b/>
      <sz val="9"/>
      <color indexed="8"/>
      <name val="Arial"/>
      <family val="2"/>
    </font>
    <font>
      <sz val="14"/>
      <color indexed="8"/>
      <name val="Arial"/>
      <family val="2"/>
    </font>
    <font>
      <b/>
      <u/>
      <sz val="14"/>
      <color indexed="8"/>
      <name val="Arial"/>
      <family val="2"/>
    </font>
    <font>
      <u/>
      <sz val="14"/>
      <color indexed="8"/>
      <name val="Arial"/>
      <family val="2"/>
    </font>
    <font>
      <b/>
      <sz val="8"/>
      <color rgb="FF000000"/>
      <name val="Arial"/>
      <family val="2"/>
    </font>
    <font>
      <sz val="12"/>
      <color indexed="8"/>
      <name val="Arial"/>
      <family val="2"/>
    </font>
    <font>
      <b/>
      <sz val="16"/>
      <color indexed="8"/>
      <name val="Arial"/>
      <family val="2"/>
    </font>
    <font>
      <b/>
      <i/>
      <sz val="16"/>
      <color rgb="FF000000"/>
      <name val="Arial"/>
      <family val="2"/>
    </font>
    <font>
      <b/>
      <i/>
      <sz val="14"/>
      <color rgb="FF000000"/>
      <name val="Arial"/>
      <family val="2"/>
    </font>
    <font>
      <b/>
      <sz val="18"/>
      <color theme="3"/>
      <name val="Arial"/>
      <family val="2"/>
    </font>
    <font>
      <b/>
      <sz val="16"/>
      <color theme="1"/>
      <name val="Arial"/>
      <family val="2"/>
    </font>
    <font>
      <b/>
      <i/>
      <sz val="16"/>
      <color theme="1"/>
      <name val="Arial"/>
      <family val="2"/>
    </font>
    <font>
      <b/>
      <sz val="22"/>
      <color indexed="8"/>
      <name val="Arial"/>
      <family val="2"/>
    </font>
    <font>
      <b/>
      <sz val="22"/>
      <color rgb="FFFF0000"/>
      <name val="Arial"/>
      <family val="2"/>
    </font>
    <font>
      <b/>
      <i/>
      <sz val="14"/>
      <name val="Arial"/>
      <family val="2"/>
    </font>
    <font>
      <sz val="12"/>
      <color indexed="63"/>
      <name val="Arial"/>
      <family val="2"/>
    </font>
    <font>
      <sz val="14"/>
      <color indexed="63"/>
      <name val="Arial"/>
      <family val="2"/>
    </font>
    <font>
      <sz val="14"/>
      <name val="Calibri"/>
      <family val="2"/>
      <scheme val="minor"/>
    </font>
    <font>
      <sz val="11"/>
      <color rgb="FF9C5700"/>
      <name val="Calibri"/>
      <family val="2"/>
      <scheme val="minor"/>
    </font>
    <font>
      <b/>
      <sz val="14"/>
      <color indexed="63"/>
      <name val="Arial"/>
      <family val="2"/>
    </font>
    <font>
      <sz val="18"/>
      <color theme="1"/>
      <name val="Calibri"/>
      <family val="2"/>
      <scheme val="minor"/>
    </font>
    <font>
      <b/>
      <sz val="12"/>
      <color indexed="8"/>
      <name val="Calibri"/>
      <family val="2"/>
    </font>
    <font>
      <b/>
      <sz val="16"/>
      <name val="Calibri"/>
      <family val="2"/>
    </font>
    <font>
      <i/>
      <sz val="10"/>
      <color indexed="8"/>
      <name val="Arial"/>
      <family val="2"/>
    </font>
    <font>
      <i/>
      <sz val="10"/>
      <name val="Arial"/>
      <family val="2"/>
    </font>
    <font>
      <i/>
      <sz val="11"/>
      <name val="Arial"/>
      <family val="2"/>
    </font>
    <font>
      <sz val="11"/>
      <color theme="1"/>
      <name val="Symbol"/>
      <family val="1"/>
      <charset val="2"/>
    </font>
    <font>
      <sz val="7"/>
      <color theme="1"/>
      <name val="Times New Roman"/>
      <family val="1"/>
    </font>
    <font>
      <sz val="11"/>
      <color rgb="FF000000"/>
      <name val="Symbol"/>
      <family val="1"/>
      <charset val="2"/>
    </font>
    <font>
      <b/>
      <sz val="22"/>
      <color theme="1"/>
      <name val="Arial"/>
      <family val="2"/>
    </font>
    <font>
      <b/>
      <u/>
      <sz val="14"/>
      <color theme="0"/>
      <name val="Arial"/>
      <family val="2"/>
    </font>
    <font>
      <b/>
      <u/>
      <sz val="18"/>
      <color theme="0"/>
      <name val="Arial"/>
      <family val="2"/>
    </font>
    <font>
      <b/>
      <sz val="14"/>
      <color theme="0"/>
      <name val="Arial"/>
      <family val="2"/>
    </font>
    <font>
      <b/>
      <sz val="16"/>
      <color theme="0" tint="-4.9989318521683403E-2"/>
      <name val="Arial"/>
      <family val="2"/>
    </font>
    <font>
      <b/>
      <sz val="12"/>
      <color theme="0" tint="-4.9989318521683403E-2"/>
      <name val="Arial"/>
      <family val="2"/>
    </font>
    <font>
      <b/>
      <sz val="14"/>
      <color theme="0" tint="-4.9989318521683403E-2"/>
      <name val="Arial"/>
      <family val="2"/>
    </font>
    <font>
      <b/>
      <sz val="16"/>
      <color theme="1"/>
      <name val="Calibri"/>
      <family val="2"/>
      <scheme val="minor"/>
    </font>
    <font>
      <sz val="16"/>
      <color theme="1"/>
      <name val="Arial"/>
      <family val="2"/>
    </font>
    <font>
      <sz val="16"/>
      <color indexed="8"/>
      <name val="Arial"/>
      <family val="2"/>
    </font>
    <font>
      <sz val="10"/>
      <color rgb="FF000000"/>
      <name val="Calibri"/>
      <family val="2"/>
    </font>
    <font>
      <sz val="12"/>
      <color rgb="FF006100"/>
      <name val="Arial"/>
      <family val="2"/>
    </font>
    <font>
      <b/>
      <sz val="11"/>
      <color rgb="FF000000"/>
      <name val="Calibri"/>
      <family val="2"/>
      <scheme val="minor"/>
    </font>
    <font>
      <sz val="11"/>
      <color rgb="FF006100"/>
      <name val="Arial"/>
      <family val="2"/>
    </font>
    <font>
      <sz val="11"/>
      <color rgb="FF9C0006"/>
      <name val="Arial"/>
      <family val="2"/>
    </font>
    <font>
      <sz val="11"/>
      <color rgb="FF9C6500"/>
      <name val="Arial"/>
      <family val="2"/>
    </font>
    <font>
      <b/>
      <sz val="17"/>
      <name val="Arial"/>
      <family val="2"/>
    </font>
    <font>
      <b/>
      <u/>
      <sz val="12"/>
      <color theme="1"/>
      <name val="Calibri"/>
      <family val="2"/>
      <scheme val="minor"/>
    </font>
    <font>
      <sz val="11"/>
      <color rgb="FFFF0000"/>
      <name val="Calibri"/>
      <family val="2"/>
      <scheme val="minor"/>
    </font>
    <font>
      <b/>
      <sz val="12"/>
      <color rgb="FFFF0000"/>
      <name val="Calibri"/>
      <family val="2"/>
      <scheme val="minor"/>
    </font>
    <font>
      <b/>
      <sz val="10"/>
      <color rgb="FFFF0000"/>
      <name val="Calibri"/>
      <family val="2"/>
      <scheme val="minor"/>
    </font>
    <font>
      <sz val="9"/>
      <color rgb="FFFF0000"/>
      <name val="Calibri"/>
      <family val="2"/>
      <scheme val="minor"/>
    </font>
    <font>
      <b/>
      <sz val="9"/>
      <color rgb="FFFF0000"/>
      <name val="Calibri"/>
      <family val="2"/>
      <scheme val="minor"/>
    </font>
    <font>
      <b/>
      <u/>
      <sz val="11"/>
      <color rgb="FFFF0000"/>
      <name val="Calibri"/>
      <family val="2"/>
      <scheme val="minor"/>
    </font>
    <font>
      <b/>
      <u/>
      <sz val="11"/>
      <color rgb="FFFF0000"/>
      <name val="Arial"/>
      <family val="2"/>
    </font>
    <font>
      <b/>
      <i/>
      <sz val="11"/>
      <color rgb="FFFF0000"/>
      <name val="Arial"/>
      <family val="2"/>
    </font>
    <font>
      <sz val="10"/>
      <name val="Calibri"/>
      <family val="2"/>
      <scheme val="minor"/>
    </font>
    <font>
      <b/>
      <sz val="20"/>
      <name val="Arial"/>
      <family val="2"/>
    </font>
    <font>
      <sz val="8"/>
      <color rgb="FF000000"/>
      <name val="Arial"/>
      <family val="2"/>
    </font>
    <font>
      <sz val="14"/>
      <color theme="1"/>
      <name val="Calibri"/>
      <family val="2"/>
      <scheme val="minor"/>
    </font>
  </fonts>
  <fills count="73">
    <fill>
      <patternFill patternType="none"/>
    </fill>
    <fill>
      <patternFill patternType="gray125"/>
    </fill>
    <fill>
      <patternFill patternType="solid">
        <fgColor rgb="FFFFC7CE"/>
      </patternFill>
    </fill>
    <fill>
      <patternFill patternType="solid">
        <fgColor indexed="26"/>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rgb="FF00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C000"/>
        <bgColor indexed="64"/>
      </patternFill>
    </fill>
    <fill>
      <patternFill patternType="solid">
        <fgColor rgb="FFD6DCE4"/>
        <bgColor indexed="64"/>
      </patternFill>
    </fill>
    <fill>
      <patternFill patternType="solid">
        <fgColor rgb="FFDDEBF7"/>
        <bgColor indexed="64"/>
      </patternFill>
    </fill>
    <fill>
      <patternFill patternType="solid">
        <fgColor rgb="FFFCE4D6"/>
        <bgColor indexed="64"/>
      </patternFill>
    </fill>
    <fill>
      <patternFill patternType="solid">
        <fgColor rgb="FFFFFF00"/>
        <bgColor indexed="64"/>
      </patternFill>
    </fill>
    <fill>
      <patternFill patternType="solid">
        <fgColor rgb="FFFF0000"/>
        <bgColor indexed="64"/>
      </patternFill>
    </fill>
    <fill>
      <patternFill patternType="solid">
        <fgColor theme="4"/>
      </patternFill>
    </fill>
    <fill>
      <patternFill patternType="solid">
        <fgColor theme="5"/>
      </patternFill>
    </fill>
    <fill>
      <patternFill patternType="solid">
        <fgColor theme="8" tint="0.39997558519241921"/>
        <bgColor indexed="64"/>
      </patternFill>
    </fill>
    <fill>
      <patternFill patternType="solid">
        <fgColor theme="4" tint="0.59999389629810485"/>
        <bgColor indexed="64"/>
      </patternFill>
    </fill>
    <fill>
      <patternFill patternType="solid">
        <fgColor rgb="FFD6BBEB"/>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92D050"/>
        <bgColor indexed="64"/>
      </patternFill>
    </fill>
    <fill>
      <patternFill patternType="solid">
        <fgColor theme="7" tint="0.79998168889431442"/>
        <bgColor theme="4" tint="0.79998168889431442"/>
      </patternFill>
    </fill>
    <fill>
      <patternFill patternType="solid">
        <fgColor theme="7" tint="0.79998168889431442"/>
        <bgColor theme="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EB9C"/>
      </patternFill>
    </fill>
    <fill>
      <patternFill patternType="solid">
        <fgColor rgb="FFFFFFCC"/>
      </patternFill>
    </fill>
    <fill>
      <patternFill patternType="solid">
        <fgColor theme="5" tint="0.59999389629810485"/>
        <bgColor indexed="65"/>
      </patternFill>
    </fill>
    <fill>
      <patternFill patternType="solid">
        <fgColor theme="6" tint="0.39997558519241921"/>
        <bgColor indexed="65"/>
      </patternFill>
    </fill>
    <fill>
      <patternFill patternType="solid">
        <fgColor theme="7" tint="0.59999389629810485"/>
        <bgColor indexed="65"/>
      </patternFill>
    </fill>
    <fill>
      <patternFill patternType="solid">
        <fgColor theme="9"/>
        <bgColor indexed="64"/>
      </patternFill>
    </fill>
    <fill>
      <patternFill patternType="solid">
        <fgColor theme="5" tint="-0.249977111117893"/>
        <bgColor indexed="64"/>
      </patternFill>
    </fill>
    <fill>
      <patternFill patternType="solid">
        <fgColor rgb="FF00B0F0"/>
        <bgColor indexed="64"/>
      </patternFill>
    </fill>
    <fill>
      <patternFill patternType="solid">
        <fgColor rgb="FFA9D08E"/>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C7CE"/>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rgb="FFFFFF00"/>
        <bgColor theme="4" tint="0.79998168889431442"/>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theme="6" tint="0.39997558519241921"/>
        <bgColor indexed="64"/>
      </patternFill>
    </fill>
    <fill>
      <patternFill patternType="solid">
        <fgColor rgb="FFFF99CC"/>
        <bgColor indexed="64"/>
      </patternFill>
    </fill>
    <fill>
      <patternFill patternType="solid">
        <fgColor rgb="FFFF99FF"/>
        <bgColor indexed="64"/>
      </patternFill>
    </fill>
    <fill>
      <patternFill patternType="solid">
        <fgColor theme="9" tint="0.39997558519241921"/>
        <bgColor indexed="64"/>
      </patternFill>
    </fill>
    <fill>
      <patternFill patternType="solid">
        <fgColor indexed="26"/>
        <bgColor indexed="64"/>
      </patternFill>
    </fill>
    <fill>
      <patternFill patternType="solid">
        <fgColor indexed="11"/>
        <bgColor indexed="64"/>
      </patternFill>
    </fill>
    <fill>
      <patternFill patternType="solid">
        <fgColor indexed="47"/>
        <bgColor indexed="64"/>
      </patternFill>
    </fill>
    <fill>
      <patternFill patternType="solid">
        <fgColor rgb="FFF2F2F2"/>
        <bgColor indexed="64"/>
      </patternFill>
    </fill>
    <fill>
      <patternFill patternType="solid">
        <fgColor rgb="FFC00000"/>
        <bgColor indexed="64"/>
      </patternFill>
    </fill>
    <fill>
      <patternFill patternType="solid">
        <fgColor rgb="FF00B050"/>
        <bgColor indexed="64"/>
      </patternFill>
    </fill>
    <fill>
      <patternFill patternType="solid">
        <fgColor rgb="FFC6EFCE"/>
      </patternFill>
    </fill>
    <fill>
      <patternFill patternType="solid">
        <fgColor rgb="FFCEE193"/>
        <bgColor indexed="64"/>
      </patternFill>
    </fill>
    <fill>
      <patternFill patternType="solid">
        <fgColor indexed="41"/>
        <bgColor indexed="64"/>
      </patternFill>
    </fill>
    <fill>
      <patternFill patternType="solid">
        <fgColor theme="7" tint="0.59999389629810485"/>
        <bgColor indexed="64"/>
      </patternFill>
    </fill>
    <fill>
      <patternFill patternType="solid">
        <fgColor rgb="FFF2DCDB"/>
        <bgColor indexed="64"/>
      </patternFill>
    </fill>
    <fill>
      <patternFill patternType="solid">
        <fgColor rgb="FFBFBFBF"/>
        <bgColor indexed="64"/>
      </patternFill>
    </fill>
    <fill>
      <patternFill patternType="solid">
        <fgColor theme="3" tint="0.39997558519241921"/>
        <bgColor indexed="64"/>
      </patternFill>
    </fill>
  </fills>
  <borders count="180">
    <border>
      <left/>
      <right/>
      <top/>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Dashed">
        <color indexed="64"/>
      </bottom>
      <diagonal/>
    </border>
    <border>
      <left/>
      <right/>
      <top style="mediumDashed">
        <color indexed="64"/>
      </top>
      <bottom style="medium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right style="double">
        <color indexed="64"/>
      </right>
      <top style="double">
        <color indexed="64"/>
      </top>
      <bottom style="double">
        <color indexed="64"/>
      </bottom>
      <diagonal/>
    </border>
    <border>
      <left/>
      <right style="double">
        <color indexed="64"/>
      </right>
      <top/>
      <bottom/>
      <diagonal/>
    </border>
    <border>
      <left style="double">
        <color indexed="64"/>
      </left>
      <right/>
      <top style="thin">
        <color indexed="64"/>
      </top>
      <bottom style="thin">
        <color indexed="64"/>
      </bottom>
      <diagonal/>
    </border>
    <border>
      <left style="double">
        <color indexed="64"/>
      </left>
      <right/>
      <top style="double">
        <color indexed="64"/>
      </top>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indexed="64"/>
      </left>
      <right style="thin">
        <color theme="3"/>
      </right>
      <top style="thin">
        <color indexed="64"/>
      </top>
      <bottom/>
      <diagonal/>
    </border>
    <border>
      <left style="thin">
        <color theme="3"/>
      </left>
      <right style="thin">
        <color theme="3"/>
      </right>
      <top/>
      <bottom/>
      <diagonal/>
    </border>
    <border>
      <left style="thin">
        <color indexed="64"/>
      </left>
      <right style="thin">
        <color theme="3"/>
      </right>
      <top/>
      <bottom style="thin">
        <color indexed="64"/>
      </bottom>
      <diagonal/>
    </border>
    <border>
      <left style="thin">
        <color theme="3"/>
      </left>
      <right style="thin">
        <color theme="3"/>
      </right>
      <top/>
      <bottom style="thin">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double">
        <color indexed="64"/>
      </top>
      <bottom/>
      <diagonal/>
    </border>
    <border>
      <left style="medium">
        <color indexed="64"/>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indexed="64"/>
      </right>
      <top/>
      <bottom style="medium">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medium">
        <color rgb="FF9BC2E6"/>
      </left>
      <right/>
      <top style="medium">
        <color rgb="FF9BC2E6"/>
      </top>
      <bottom style="medium">
        <color rgb="FF9BC2E6"/>
      </bottom>
      <diagonal/>
    </border>
    <border>
      <left style="medium">
        <color rgb="FF9BC2E6"/>
      </left>
      <right/>
      <top/>
      <bottom style="medium">
        <color rgb="FF9BC2E6"/>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style="thin">
        <color theme="3"/>
      </left>
      <right style="thin">
        <color theme="3"/>
      </right>
      <top/>
      <bottom style="thin">
        <color theme="3"/>
      </bottom>
      <diagonal/>
    </border>
    <border>
      <left style="thin">
        <color indexed="64"/>
      </left>
      <right/>
      <top style="thin">
        <color indexed="64"/>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top/>
      <bottom style="thin">
        <color theme="3"/>
      </bottom>
      <diagonal/>
    </border>
    <border>
      <left style="thick">
        <color rgb="FFC00000"/>
      </left>
      <right style="thick">
        <color rgb="FFC00000"/>
      </right>
      <top style="thick">
        <color rgb="FFC00000"/>
      </top>
      <bottom/>
      <diagonal/>
    </border>
    <border>
      <left style="thick">
        <color rgb="FFC00000"/>
      </left>
      <right style="thick">
        <color rgb="FFC00000"/>
      </right>
      <top/>
      <bottom style="thick">
        <color rgb="FFC00000"/>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thin">
        <color indexed="8"/>
      </left>
      <right/>
      <top/>
      <bottom style="thin">
        <color indexed="8"/>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style="dotted">
        <color indexed="64"/>
      </bottom>
      <diagonal/>
    </border>
    <border>
      <left/>
      <right style="hair">
        <color indexed="64"/>
      </right>
      <top/>
      <bottom style="dotted">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s>
  <cellStyleXfs count="47">
    <xf numFmtId="0" fontId="0" fillId="0" borderId="0"/>
    <xf numFmtId="170" fontId="6" fillId="0" borderId="0" applyFont="0" applyFill="0" applyBorder="0" applyAlignment="0" applyProtection="0"/>
    <xf numFmtId="9" fontId="6" fillId="0" borderId="0" applyFont="0" applyFill="0" applyBorder="0" applyAlignment="0" applyProtection="0"/>
    <xf numFmtId="0" fontId="8" fillId="3" borderId="1" applyNumberFormat="0" applyFont="0" applyAlignment="0" applyProtection="0"/>
    <xf numFmtId="171" fontId="8" fillId="0" borderId="0" applyFont="0" applyFill="0" applyBorder="0" applyAlignment="0" applyProtection="0"/>
    <xf numFmtId="0" fontId="6" fillId="0" borderId="0"/>
    <xf numFmtId="171" fontId="8" fillId="0" borderId="0" applyFont="0" applyFill="0" applyBorder="0" applyAlignment="0" applyProtection="0"/>
    <xf numFmtId="9" fontId="8" fillId="0" borderId="0" applyFont="0" applyFill="0" applyBorder="0" applyAlignment="0" applyProtection="0"/>
    <xf numFmtId="0" fontId="7" fillId="2" borderId="0" applyNumberFormat="0" applyBorder="0" applyAlignment="0" applyProtection="0"/>
    <xf numFmtId="0" fontId="8" fillId="0" borderId="0"/>
    <xf numFmtId="0" fontId="8" fillId="0" borderId="0"/>
    <xf numFmtId="0" fontId="9" fillId="0" borderId="0"/>
    <xf numFmtId="0" fontId="18" fillId="22" borderId="0" applyNumberFormat="0" applyBorder="0" applyAlignment="0" applyProtection="0"/>
    <xf numFmtId="0" fontId="18" fillId="23"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6" fillId="0" borderId="0" applyNumberForma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7" fillId="2" borderId="0" applyNumberFormat="0" applyBorder="0" applyAlignment="0" applyProtection="0"/>
    <xf numFmtId="0" fontId="6" fillId="38" borderId="88" applyNumberFormat="0" applyFont="0" applyAlignment="0" applyProtection="0"/>
    <xf numFmtId="0" fontId="6" fillId="39" borderId="0" applyNumberFormat="0" applyBorder="0" applyAlignment="0" applyProtection="0"/>
    <xf numFmtId="0" fontId="6" fillId="41" borderId="0" applyNumberFormat="0" applyBorder="0" applyAlignment="0" applyProtection="0"/>
    <xf numFmtId="43" fontId="8" fillId="0" borderId="0" applyFont="0" applyFill="0" applyBorder="0" applyAlignment="0" applyProtection="0"/>
    <xf numFmtId="0" fontId="8" fillId="3" borderId="1" applyNumberFormat="0" applyFont="0" applyAlignment="0" applyProtection="0"/>
    <xf numFmtId="183" fontId="6" fillId="0" borderId="0" applyFont="0" applyFill="0" applyBorder="0" applyAlignment="0" applyProtection="0"/>
    <xf numFmtId="171" fontId="8" fillId="0" borderId="0" applyFont="0" applyFill="0" applyBorder="0" applyAlignment="0" applyProtection="0"/>
    <xf numFmtId="0" fontId="9" fillId="0" borderId="0"/>
    <xf numFmtId="0" fontId="9" fillId="0" borderId="0"/>
    <xf numFmtId="0" fontId="6" fillId="0" borderId="0"/>
    <xf numFmtId="9" fontId="8" fillId="0" borderId="0" applyFont="0" applyFill="0" applyBorder="0" applyAlignment="0" applyProtection="0"/>
    <xf numFmtId="0" fontId="145" fillId="37" borderId="0" applyNumberFormat="0" applyBorder="0" applyAlignment="0" applyProtection="0"/>
    <xf numFmtId="0" fontId="6" fillId="40" borderId="0" applyNumberFormat="0" applyBorder="0" applyAlignment="0" applyProtection="0"/>
    <xf numFmtId="0" fontId="8" fillId="3" borderId="141" applyNumberFormat="0" applyFont="0" applyAlignment="0" applyProtection="0"/>
    <xf numFmtId="0" fontId="8" fillId="3" borderId="146" applyNumberFormat="0" applyFont="0" applyAlignment="0" applyProtection="0"/>
    <xf numFmtId="0" fontId="167" fillId="66" borderId="0" applyNumberFormat="0" applyBorder="0" applyAlignment="0" applyProtection="0"/>
    <xf numFmtId="43" fontId="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8" fillId="0" borderId="0" applyFont="0" applyFill="0" applyBorder="0" applyAlignment="0" applyProtection="0"/>
    <xf numFmtId="0" fontId="8" fillId="3" borderId="146" applyNumberFormat="0" applyFont="0" applyAlignment="0" applyProtection="0"/>
    <xf numFmtId="43" fontId="8" fillId="0" borderId="0" applyFont="0" applyFill="0" applyBorder="0" applyAlignment="0" applyProtection="0"/>
    <xf numFmtId="0" fontId="8" fillId="3" borderId="146" applyNumberFormat="0" applyFont="0" applyAlignment="0" applyProtection="0"/>
    <xf numFmtId="0" fontId="8" fillId="3" borderId="179" applyNumberFormat="0" applyFont="0" applyAlignment="0" applyProtection="0"/>
    <xf numFmtId="168" fontId="6" fillId="0" borderId="0" applyFont="0" applyFill="0" applyBorder="0" applyAlignment="0" applyProtection="0"/>
  </cellStyleXfs>
  <cellXfs count="2698">
    <xf numFmtId="0" fontId="0" fillId="0" borderId="0" xfId="0"/>
    <xf numFmtId="0" fontId="9" fillId="0" borderId="0" xfId="5" applyFont="1" applyAlignment="1" applyProtection="1">
      <alignment vertical="center"/>
      <protection locked="0"/>
    </xf>
    <xf numFmtId="49" fontId="10" fillId="0" borderId="0" xfId="5" applyNumberFormat="1" applyFont="1" applyAlignment="1" applyProtection="1">
      <alignment horizontal="center" vertical="center"/>
      <protection locked="0"/>
    </xf>
    <xf numFmtId="0" fontId="10" fillId="0" borderId="0" xfId="5" applyFont="1" applyAlignment="1" applyProtection="1">
      <alignment vertical="center"/>
      <protection locked="0"/>
    </xf>
    <xf numFmtId="14" fontId="10" fillId="0" borderId="0" xfId="5" applyNumberFormat="1" applyFont="1" applyAlignment="1" applyProtection="1">
      <alignment vertical="center"/>
      <protection locked="0"/>
    </xf>
    <xf numFmtId="175" fontId="10" fillId="0" borderId="0" xfId="7" applyNumberFormat="1" applyFont="1" applyAlignment="1" applyProtection="1">
      <alignment vertical="center"/>
      <protection locked="0"/>
    </xf>
    <xf numFmtId="176" fontId="10" fillId="0" borderId="0" xfId="7" applyNumberFormat="1" applyFont="1" applyAlignment="1" applyProtection="1">
      <alignment vertical="center"/>
      <protection locked="0"/>
    </xf>
    <xf numFmtId="175" fontId="10" fillId="0" borderId="0" xfId="7" applyNumberFormat="1" applyFont="1" applyFill="1" applyAlignment="1" applyProtection="1">
      <alignment vertical="center"/>
      <protection locked="0"/>
    </xf>
    <xf numFmtId="175" fontId="12" fillId="0" borderId="0" xfId="7" applyNumberFormat="1" applyFont="1" applyAlignment="1" applyProtection="1">
      <alignment vertical="center"/>
      <protection locked="0"/>
    </xf>
    <xf numFmtId="0" fontId="19" fillId="0" borderId="0" xfId="0" applyFont="1" applyAlignment="1" applyProtection="1">
      <alignment horizontal="right" vertical="center"/>
      <protection hidden="1"/>
    </xf>
    <xf numFmtId="0" fontId="14" fillId="0" borderId="0" xfId="0" applyFont="1" applyAlignment="1" applyProtection="1">
      <alignment wrapText="1"/>
      <protection hidden="1"/>
    </xf>
    <xf numFmtId="0" fontId="14" fillId="0" borderId="0" xfId="0" applyFont="1" applyProtection="1">
      <protection hidden="1"/>
    </xf>
    <xf numFmtId="180" fontId="19" fillId="0" borderId="0" xfId="0" applyNumberFormat="1" applyFont="1" applyProtection="1">
      <protection hidden="1"/>
    </xf>
    <xf numFmtId="10" fontId="19" fillId="0" borderId="0" xfId="0" applyNumberFormat="1" applyFont="1" applyAlignment="1" applyProtection="1">
      <alignment horizontal="center"/>
      <protection locked="0"/>
    </xf>
    <xf numFmtId="180" fontId="19" fillId="0" borderId="0" xfId="15" applyNumberFormat="1" applyFont="1" applyFill="1" applyBorder="1" applyAlignment="1" applyProtection="1">
      <alignment horizontal="center"/>
      <protection hidden="1"/>
    </xf>
    <xf numFmtId="0" fontId="19" fillId="0" borderId="0" xfId="0" applyFont="1" applyProtection="1">
      <protection hidden="1"/>
    </xf>
    <xf numFmtId="0" fontId="14" fillId="0" borderId="0" xfId="0" applyFont="1" applyAlignment="1" applyProtection="1">
      <alignment horizontal="right"/>
      <protection hidden="1"/>
    </xf>
    <xf numFmtId="0" fontId="19" fillId="7" borderId="4" xfId="0" applyFont="1" applyFill="1" applyBorder="1" applyAlignment="1" applyProtection="1">
      <alignment horizontal="center" vertical="center" wrapText="1"/>
      <protection hidden="1"/>
    </xf>
    <xf numFmtId="0" fontId="19" fillId="29" borderId="4" xfId="0" applyFont="1" applyFill="1" applyBorder="1" applyAlignment="1" applyProtection="1">
      <alignment horizontal="center" vertical="center" wrapText="1"/>
      <protection hidden="1"/>
    </xf>
    <xf numFmtId="0" fontId="11" fillId="24" borderId="4" xfId="12" applyFont="1" applyFill="1" applyBorder="1" applyAlignment="1" applyProtection="1">
      <alignment horizontal="center" vertical="center"/>
      <protection hidden="1"/>
    </xf>
    <xf numFmtId="0" fontId="20" fillId="0" borderId="4" xfId="0" applyFont="1" applyBorder="1" applyAlignment="1" applyProtection="1">
      <alignment horizontal="center" vertical="center" wrapText="1"/>
      <protection locked="0" hidden="1"/>
    </xf>
    <xf numFmtId="0" fontId="20" fillId="0" borderId="4" xfId="0" applyFont="1" applyBorder="1" applyAlignment="1" applyProtection="1">
      <alignment horizontal="center" vertical="center"/>
      <protection locked="0" hidden="1"/>
    </xf>
    <xf numFmtId="0" fontId="23" fillId="23" borderId="4" xfId="13" applyFont="1" applyBorder="1" applyAlignment="1" applyProtection="1">
      <alignment horizontal="center" vertical="center"/>
      <protection hidden="1"/>
    </xf>
    <xf numFmtId="181" fontId="24" fillId="25" borderId="4" xfId="2" applyNumberFormat="1" applyFont="1" applyFill="1" applyBorder="1" applyAlignment="1" applyProtection="1">
      <alignment horizontal="center" vertical="center"/>
      <protection hidden="1"/>
    </xf>
    <xf numFmtId="9" fontId="24" fillId="25" borderId="4" xfId="2" applyFont="1" applyFill="1" applyBorder="1" applyAlignment="1" applyProtection="1">
      <alignment horizontal="center" vertical="center"/>
      <protection hidden="1"/>
    </xf>
    <xf numFmtId="170" fontId="19" fillId="13" borderId="0" xfId="1" applyFont="1" applyFill="1" applyBorder="1" applyAlignment="1">
      <alignment wrapText="1"/>
    </xf>
    <xf numFmtId="0" fontId="14" fillId="0" borderId="13" xfId="0" applyFont="1" applyBorder="1" applyAlignment="1" applyProtection="1">
      <alignment horizontal="left"/>
      <protection hidden="1"/>
    </xf>
    <xf numFmtId="0" fontId="27" fillId="13" borderId="0" xfId="12" applyFont="1" applyFill="1" applyBorder="1" applyAlignment="1" applyProtection="1">
      <alignment horizontal="left" vertical="top" wrapText="1"/>
      <protection locked="0" hidden="1"/>
    </xf>
    <xf numFmtId="0" fontId="25" fillId="25" borderId="70" xfId="0" applyFont="1" applyFill="1" applyBorder="1" applyAlignment="1" applyProtection="1">
      <alignment horizontal="center" vertical="center"/>
      <protection hidden="1"/>
    </xf>
    <xf numFmtId="0" fontId="14" fillId="13" borderId="0" xfId="0" applyFont="1" applyFill="1"/>
    <xf numFmtId="0" fontId="14" fillId="0" borderId="0" xfId="0" applyFont="1"/>
    <xf numFmtId="0" fontId="14" fillId="0" borderId="4" xfId="0" applyFont="1" applyBorder="1" applyAlignment="1">
      <alignment horizontal="center"/>
    </xf>
    <xf numFmtId="0" fontId="14" fillId="13" borderId="0" xfId="0" applyFont="1" applyFill="1" applyProtection="1">
      <protection hidden="1"/>
    </xf>
    <xf numFmtId="0" fontId="14" fillId="13" borderId="0" xfId="0" applyFont="1" applyFill="1" applyProtection="1">
      <protection locked="0"/>
    </xf>
    <xf numFmtId="0" fontId="14" fillId="13" borderId="0" xfId="0" applyFont="1" applyFill="1" applyAlignment="1" applyProtection="1">
      <alignment horizontal="center"/>
      <protection hidden="1"/>
    </xf>
    <xf numFmtId="0" fontId="30" fillId="18" borderId="57" xfId="0" applyFont="1" applyFill="1" applyBorder="1" applyAlignment="1">
      <alignment horizontal="center" vertical="center" wrapText="1"/>
    </xf>
    <xf numFmtId="0" fontId="30" fillId="18" borderId="58" xfId="0" applyFont="1" applyFill="1" applyBorder="1" applyAlignment="1">
      <alignment horizontal="center" vertical="center" wrapText="1"/>
    </xf>
    <xf numFmtId="0" fontId="14" fillId="13" borderId="68" xfId="0" applyFont="1" applyFill="1" applyBorder="1"/>
    <xf numFmtId="1" fontId="14" fillId="0" borderId="69" xfId="1" applyNumberFormat="1" applyFont="1" applyBorder="1"/>
    <xf numFmtId="170" fontId="14" fillId="0" borderId="69" xfId="1" applyFont="1" applyBorder="1"/>
    <xf numFmtId="0" fontId="30" fillId="18" borderId="60" xfId="0" applyFont="1" applyFill="1" applyBorder="1" applyAlignment="1">
      <alignment horizontal="center" vertical="center" wrapText="1"/>
    </xf>
    <xf numFmtId="0" fontId="35" fillId="12" borderId="59" xfId="0" applyFont="1" applyFill="1" applyBorder="1" applyAlignment="1">
      <alignment horizontal="center" vertical="center" wrapText="1"/>
    </xf>
    <xf numFmtId="0" fontId="35" fillId="12" borderId="60" xfId="0" applyFont="1" applyFill="1" applyBorder="1" applyAlignment="1">
      <alignment horizontal="center" vertical="center" wrapText="1"/>
    </xf>
    <xf numFmtId="0" fontId="35" fillId="12" borderId="70" xfId="0" applyFont="1" applyFill="1" applyBorder="1" applyAlignment="1">
      <alignment horizontal="center" vertical="center" wrapText="1"/>
    </xf>
    <xf numFmtId="0" fontId="35" fillId="33" borderId="74" xfId="0" applyFont="1" applyFill="1" applyBorder="1" applyAlignment="1">
      <alignment horizontal="center" vertical="center" wrapText="1"/>
    </xf>
    <xf numFmtId="0" fontId="35" fillId="33" borderId="14" xfId="0" applyFont="1" applyFill="1" applyBorder="1" applyAlignment="1">
      <alignment horizontal="center" vertical="center" wrapText="1"/>
    </xf>
    <xf numFmtId="0" fontId="25" fillId="0" borderId="72" xfId="0" applyFont="1" applyBorder="1" applyAlignment="1">
      <alignment horizontal="center" vertical="center" wrapText="1"/>
    </xf>
    <xf numFmtId="169" fontId="14" fillId="0" borderId="57" xfId="17" applyFont="1" applyBorder="1"/>
    <xf numFmtId="170" fontId="14" fillId="0" borderId="58" xfId="1" applyFont="1" applyBorder="1"/>
    <xf numFmtId="0" fontId="25" fillId="0" borderId="0" xfId="0" applyFont="1" applyProtection="1">
      <protection hidden="1"/>
    </xf>
    <xf numFmtId="0" fontId="10" fillId="0" borderId="0" xfId="0" applyFont="1" applyAlignment="1" applyProtection="1">
      <alignment vertical="center"/>
      <protection hidden="1"/>
    </xf>
    <xf numFmtId="0" fontId="14" fillId="0" borderId="0" xfId="0" applyFont="1" applyProtection="1">
      <protection locked="0"/>
    </xf>
    <xf numFmtId="0" fontId="25" fillId="0" borderId="0" xfId="0" applyFont="1" applyAlignment="1" applyProtection="1">
      <alignment horizontal="right"/>
      <protection locked="0"/>
    </xf>
    <xf numFmtId="0" fontId="14" fillId="0" borderId="73" xfId="0" applyFont="1" applyBorder="1" applyProtection="1">
      <protection hidden="1"/>
    </xf>
    <xf numFmtId="0" fontId="14" fillId="0" borderId="77" xfId="0" applyFont="1" applyBorder="1" applyProtection="1">
      <protection hidden="1"/>
    </xf>
    <xf numFmtId="0" fontId="25" fillId="0" borderId="0" xfId="0" applyFont="1" applyAlignment="1" applyProtection="1">
      <alignment horizontal="center"/>
      <protection hidden="1"/>
    </xf>
    <xf numFmtId="0" fontId="36" fillId="0" borderId="0" xfId="0" applyFont="1" applyProtection="1">
      <protection hidden="1"/>
    </xf>
    <xf numFmtId="0" fontId="25" fillId="10" borderId="4" xfId="0" applyFont="1" applyFill="1" applyBorder="1" applyAlignment="1" applyProtection="1">
      <alignment horizontal="center" vertical="center"/>
      <protection hidden="1"/>
    </xf>
    <xf numFmtId="172" fontId="27" fillId="0" borderId="0" xfId="4" applyNumberFormat="1" applyFont="1" applyAlignment="1" applyProtection="1">
      <alignment horizontal="center" vertical="center"/>
      <protection locked="0"/>
    </xf>
    <xf numFmtId="172" fontId="27" fillId="16" borderId="0" xfId="4" applyNumberFormat="1" applyFont="1" applyFill="1" applyAlignment="1" applyProtection="1">
      <alignment horizontal="center" vertical="center"/>
      <protection locked="0"/>
    </xf>
    <xf numFmtId="179" fontId="14" fillId="0" borderId="0" xfId="1" applyNumberFormat="1" applyFont="1" applyProtection="1">
      <protection hidden="1"/>
    </xf>
    <xf numFmtId="0" fontId="14" fillId="0" borderId="0" xfId="0" quotePrefix="1" applyFont="1" applyProtection="1">
      <protection hidden="1"/>
    </xf>
    <xf numFmtId="0" fontId="14" fillId="0" borderId="0" xfId="0" applyFont="1" applyAlignment="1" applyProtection="1">
      <alignment horizontal="center"/>
      <protection hidden="1"/>
    </xf>
    <xf numFmtId="178" fontId="27" fillId="0" borderId="0" xfId="2" applyNumberFormat="1" applyFont="1" applyAlignment="1" applyProtection="1">
      <alignment horizontal="center" vertical="center"/>
      <protection locked="0"/>
    </xf>
    <xf numFmtId="9" fontId="27" fillId="16" borderId="0" xfId="2" applyFont="1" applyFill="1" applyAlignment="1" applyProtection="1">
      <alignment horizontal="center" vertical="center"/>
      <protection locked="0"/>
    </xf>
    <xf numFmtId="9" fontId="27" fillId="0" borderId="0" xfId="2" applyFont="1" applyAlignment="1" applyProtection="1">
      <alignment horizontal="center" vertical="center"/>
      <protection locked="0"/>
    </xf>
    <xf numFmtId="10" fontId="27" fillId="16" borderId="0" xfId="2" applyNumberFormat="1" applyFont="1" applyFill="1" applyAlignment="1" applyProtection="1">
      <alignment horizontal="center" vertical="center"/>
      <protection locked="0"/>
    </xf>
    <xf numFmtId="10" fontId="27" fillId="0" borderId="0" xfId="2" applyNumberFormat="1" applyFont="1" applyAlignment="1" applyProtection="1">
      <alignment horizontal="center" vertical="center"/>
      <protection locked="0"/>
    </xf>
    <xf numFmtId="44" fontId="22" fillId="0" borderId="0" xfId="14" applyFont="1" applyFill="1" applyBorder="1" applyAlignment="1" applyProtection="1">
      <protection hidden="1"/>
    </xf>
    <xf numFmtId="0" fontId="14" fillId="0" borderId="0" xfId="0" applyFont="1" applyAlignment="1" applyProtection="1">
      <alignment horizontal="justify" vertical="top" wrapText="1"/>
      <protection locked="0"/>
    </xf>
    <xf numFmtId="0" fontId="14" fillId="0" borderId="0" xfId="0" applyFont="1" applyAlignment="1" applyProtection="1">
      <alignment horizontal="right" vertical="top"/>
      <protection locked="0"/>
    </xf>
    <xf numFmtId="180" fontId="14" fillId="0" borderId="0" xfId="14" applyNumberFormat="1" applyFont="1" applyFill="1" applyBorder="1" applyAlignment="1" applyProtection="1">
      <alignment horizontal="justify" vertical="top" wrapText="1"/>
      <protection locked="0"/>
    </xf>
    <xf numFmtId="9" fontId="27" fillId="0" borderId="0" xfId="2" applyFont="1" applyAlignment="1" applyProtection="1">
      <alignment horizontal="right" vertical="center"/>
      <protection locked="0"/>
    </xf>
    <xf numFmtId="172" fontId="42" fillId="0" borderId="0" xfId="4" applyNumberFormat="1" applyFont="1" applyAlignment="1" applyProtection="1">
      <alignment horizontal="center" vertical="center"/>
      <protection locked="0"/>
    </xf>
    <xf numFmtId="1" fontId="42" fillId="16" borderId="0" xfId="2" applyNumberFormat="1" applyFont="1" applyFill="1" applyAlignment="1" applyProtection="1">
      <alignment horizontal="center" vertical="center"/>
      <protection locked="0"/>
    </xf>
    <xf numFmtId="1" fontId="42" fillId="0" borderId="0" xfId="2" applyNumberFormat="1" applyFont="1" applyAlignment="1" applyProtection="1">
      <alignment horizontal="center" vertical="center"/>
      <protection locked="0"/>
    </xf>
    <xf numFmtId="0" fontId="25" fillId="0" borderId="0" xfId="0" applyFont="1" applyAlignment="1" applyProtection="1">
      <alignment horizontal="right" vertical="top" wrapText="1"/>
      <protection locked="0"/>
    </xf>
    <xf numFmtId="9" fontId="25" fillId="0" borderId="0" xfId="0" applyNumberFormat="1" applyFont="1" applyAlignment="1" applyProtection="1">
      <alignment horizontal="right" vertical="top" wrapText="1"/>
      <protection locked="0"/>
    </xf>
    <xf numFmtId="0" fontId="25" fillId="0" borderId="0" xfId="0" applyFont="1" applyAlignment="1" applyProtection="1">
      <alignment horizontal="right"/>
      <protection hidden="1"/>
    </xf>
    <xf numFmtId="180" fontId="25" fillId="0" borderId="0" xfId="0" applyNumberFormat="1" applyFont="1" applyAlignment="1" applyProtection="1">
      <alignment horizontal="right"/>
      <protection hidden="1"/>
    </xf>
    <xf numFmtId="10" fontId="27" fillId="0" borderId="36" xfId="2" applyNumberFormat="1" applyFont="1" applyBorder="1" applyAlignment="1" applyProtection="1">
      <alignment horizontal="center" vertical="center"/>
      <protection locked="0"/>
    </xf>
    <xf numFmtId="0" fontId="14" fillId="0" borderId="36" xfId="0" applyFont="1" applyBorder="1" applyProtection="1">
      <protection hidden="1"/>
    </xf>
    <xf numFmtId="0" fontId="19" fillId="0" borderId="0" xfId="0" applyFont="1" applyAlignment="1" applyProtection="1">
      <alignment horizontal="right" vertical="top" wrapText="1"/>
      <protection locked="0"/>
    </xf>
    <xf numFmtId="9" fontId="19" fillId="0" borderId="0" xfId="0" applyNumberFormat="1" applyFont="1" applyAlignment="1" applyProtection="1">
      <alignment horizontal="right" vertical="top" wrapText="1"/>
      <protection locked="0"/>
    </xf>
    <xf numFmtId="172" fontId="27" fillId="9" borderId="0" xfId="4" applyNumberFormat="1" applyFont="1" applyFill="1" applyAlignment="1" applyProtection="1">
      <alignment horizontal="center" vertical="center"/>
      <protection locked="0"/>
    </xf>
    <xf numFmtId="180" fontId="19" fillId="0" borderId="0" xfId="14" applyNumberFormat="1" applyFont="1" applyFill="1" applyBorder="1" applyAlignment="1" applyProtection="1">
      <alignment horizontal="right" vertical="top" wrapText="1"/>
      <protection locked="0"/>
    </xf>
    <xf numFmtId="0" fontId="21" fillId="0" borderId="0" xfId="0" applyFont="1" applyAlignment="1" applyProtection="1">
      <alignment horizontal="center"/>
      <protection hidden="1"/>
    </xf>
    <xf numFmtId="9" fontId="14" fillId="0" borderId="0" xfId="0" applyNumberFormat="1" applyFont="1" applyAlignment="1" applyProtection="1">
      <alignment horizontal="center"/>
      <protection hidden="1"/>
    </xf>
    <xf numFmtId="9" fontId="27" fillId="0" borderId="0" xfId="0" applyNumberFormat="1" applyFont="1" applyAlignment="1" applyProtection="1">
      <alignment horizontal="center"/>
      <protection hidden="1"/>
    </xf>
    <xf numFmtId="0" fontId="25" fillId="0" borderId="0" xfId="0" applyFont="1" applyAlignment="1" applyProtection="1">
      <alignment horizontal="left"/>
      <protection hidden="1"/>
    </xf>
    <xf numFmtId="10" fontId="27" fillId="0" borderId="0" xfId="0" applyNumberFormat="1" applyFont="1" applyAlignment="1" applyProtection="1">
      <alignment horizontal="center"/>
      <protection hidden="1"/>
    </xf>
    <xf numFmtId="177" fontId="27" fillId="0" borderId="0" xfId="2" applyNumberFormat="1" applyFont="1" applyAlignment="1" applyProtection="1">
      <alignment horizontal="center" vertical="center"/>
      <protection locked="0"/>
    </xf>
    <xf numFmtId="9" fontId="25" fillId="0" borderId="0" xfId="0" applyNumberFormat="1" applyFont="1" applyAlignment="1" applyProtection="1">
      <alignment horizontal="center"/>
      <protection hidden="1"/>
    </xf>
    <xf numFmtId="175" fontId="27" fillId="0" borderId="0" xfId="2" applyNumberFormat="1" applyFont="1" applyAlignment="1" applyProtection="1">
      <alignment horizontal="center" vertical="center"/>
      <protection locked="0"/>
    </xf>
    <xf numFmtId="172" fontId="27" fillId="21" borderId="0" xfId="4" applyNumberFormat="1" applyFont="1" applyFill="1" applyAlignment="1" applyProtection="1">
      <alignment horizontal="center" vertical="center"/>
      <protection locked="0"/>
    </xf>
    <xf numFmtId="176" fontId="14" fillId="0" borderId="0" xfId="1" applyNumberFormat="1" applyFont="1" applyProtection="1">
      <protection hidden="1"/>
    </xf>
    <xf numFmtId="9" fontId="27" fillId="0" borderId="19" xfId="2" applyFont="1" applyBorder="1" applyAlignment="1" applyProtection="1">
      <alignment horizontal="center" vertical="center"/>
      <protection locked="0"/>
    </xf>
    <xf numFmtId="9" fontId="14" fillId="0" borderId="0" xfId="2" applyFont="1" applyFill="1" applyBorder="1" applyAlignment="1" applyProtection="1">
      <alignment horizontal="center"/>
      <protection locked="0" hidden="1"/>
    </xf>
    <xf numFmtId="180" fontId="14" fillId="0" borderId="0" xfId="15" applyNumberFormat="1" applyFont="1" applyFill="1" applyBorder="1" applyProtection="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center" vertical="center" wrapText="1"/>
      <protection hidden="1"/>
    </xf>
    <xf numFmtId="9" fontId="14" fillId="0" borderId="0" xfId="2" applyFont="1" applyFill="1" applyBorder="1" applyAlignment="1" applyProtection="1">
      <alignment horizontal="center"/>
      <protection hidden="1"/>
    </xf>
    <xf numFmtId="0" fontId="14" fillId="0" borderId="16" xfId="0" applyFont="1" applyBorder="1" applyProtection="1">
      <protection hidden="1"/>
    </xf>
    <xf numFmtId="172" fontId="27" fillId="0" borderId="0" xfId="4" applyNumberFormat="1" applyFont="1" applyAlignment="1" applyProtection="1">
      <alignment vertical="center"/>
      <protection locked="0"/>
    </xf>
    <xf numFmtId="0" fontId="27" fillId="0" borderId="0" xfId="5" applyFont="1" applyAlignment="1" applyProtection="1">
      <alignment vertical="center"/>
      <protection locked="0"/>
    </xf>
    <xf numFmtId="172" fontId="13" fillId="0" borderId="0" xfId="4" applyNumberFormat="1" applyFont="1" applyAlignment="1" applyProtection="1">
      <alignment horizontal="center" vertical="center" wrapText="1"/>
      <protection locked="0"/>
    </xf>
    <xf numFmtId="179" fontId="13" fillId="0" borderId="0" xfId="1" applyNumberFormat="1" applyFont="1" applyAlignment="1" applyProtection="1">
      <alignment horizontal="center" vertical="center" wrapText="1"/>
      <protection locked="0"/>
    </xf>
    <xf numFmtId="49" fontId="13" fillId="7" borderId="48" xfId="4" applyNumberFormat="1" applyFont="1" applyFill="1" applyBorder="1" applyAlignment="1" applyProtection="1">
      <alignment horizontal="center" vertical="center" wrapText="1"/>
      <protection locked="0"/>
    </xf>
    <xf numFmtId="49" fontId="13" fillId="7" borderId="11" xfId="4" applyNumberFormat="1" applyFont="1" applyFill="1" applyBorder="1" applyAlignment="1" applyProtection="1">
      <alignment horizontal="center" vertical="center" wrapText="1"/>
      <protection locked="0"/>
    </xf>
    <xf numFmtId="49" fontId="13" fillId="7" borderId="11" xfId="4" applyNumberFormat="1" applyFont="1" applyFill="1" applyBorder="1" applyAlignment="1" applyProtection="1">
      <alignment horizontal="center" vertical="center"/>
      <protection locked="0"/>
    </xf>
    <xf numFmtId="49" fontId="13" fillId="7" borderId="12" xfId="4" applyNumberFormat="1" applyFont="1" applyFill="1" applyBorder="1" applyAlignment="1" applyProtection="1">
      <alignment horizontal="center" vertical="center"/>
      <protection locked="0"/>
    </xf>
    <xf numFmtId="14" fontId="13" fillId="7" borderId="21" xfId="4" applyNumberFormat="1" applyFont="1" applyFill="1" applyBorder="1" applyAlignment="1" applyProtection="1">
      <alignment horizontal="center" vertical="center" wrapText="1"/>
      <protection locked="0"/>
    </xf>
    <xf numFmtId="14" fontId="13" fillId="7" borderId="4" xfId="4" applyNumberFormat="1" applyFont="1" applyFill="1" applyBorder="1" applyAlignment="1" applyProtection="1">
      <alignment horizontal="center" vertical="center" wrapText="1"/>
      <protection locked="0"/>
    </xf>
    <xf numFmtId="14" fontId="13" fillId="7" borderId="17" xfId="4" applyNumberFormat="1" applyFont="1" applyFill="1" applyBorder="1" applyAlignment="1" applyProtection="1">
      <alignment horizontal="center" vertical="center" wrapText="1"/>
      <protection locked="0"/>
    </xf>
    <xf numFmtId="49" fontId="13" fillId="7" borderId="21" xfId="4" applyNumberFormat="1" applyFont="1" applyFill="1" applyBorder="1" applyAlignment="1" applyProtection="1">
      <alignment horizontal="center" vertical="center" wrapText="1"/>
      <protection locked="0"/>
    </xf>
    <xf numFmtId="170" fontId="13" fillId="7" borderId="21" xfId="1" applyFont="1" applyFill="1" applyBorder="1" applyAlignment="1" applyProtection="1">
      <alignment horizontal="center" vertical="center" wrapText="1"/>
      <protection locked="0"/>
    </xf>
    <xf numFmtId="170" fontId="13" fillId="7" borderId="4" xfId="1" applyFont="1" applyFill="1" applyBorder="1" applyAlignment="1" applyProtection="1">
      <alignment horizontal="center" vertical="center" wrapText="1"/>
      <protection locked="0"/>
    </xf>
    <xf numFmtId="170" fontId="13" fillId="7" borderId="17" xfId="1" applyFont="1" applyFill="1" applyBorder="1" applyAlignment="1" applyProtection="1">
      <alignment horizontal="center" vertical="center" wrapText="1"/>
      <protection locked="0"/>
    </xf>
    <xf numFmtId="173" fontId="13" fillId="8" borderId="21" xfId="4" applyNumberFormat="1" applyFont="1" applyFill="1" applyBorder="1" applyAlignment="1" applyProtection="1">
      <alignment horizontal="center" vertical="center" wrapText="1"/>
      <protection locked="0"/>
    </xf>
    <xf numFmtId="173" fontId="13" fillId="8" borderId="4" xfId="4" applyNumberFormat="1" applyFont="1" applyFill="1" applyBorder="1" applyAlignment="1" applyProtection="1">
      <alignment horizontal="center" vertical="center" wrapText="1"/>
      <protection locked="0"/>
    </xf>
    <xf numFmtId="173" fontId="13" fillId="8" borderId="17" xfId="4" applyNumberFormat="1" applyFont="1" applyFill="1" applyBorder="1" applyAlignment="1" applyProtection="1">
      <alignment horizontal="center" vertical="center" wrapText="1"/>
      <protection locked="0"/>
    </xf>
    <xf numFmtId="172" fontId="9" fillId="7" borderId="21" xfId="4" applyNumberFormat="1" applyFont="1" applyFill="1" applyBorder="1" applyAlignment="1" applyProtection="1">
      <alignment horizontal="center" vertical="center" wrapText="1"/>
      <protection locked="0"/>
    </xf>
    <xf numFmtId="172" fontId="9" fillId="7" borderId="4" xfId="4" applyNumberFormat="1" applyFont="1" applyFill="1" applyBorder="1" applyAlignment="1" applyProtection="1">
      <alignment horizontal="center" vertical="center" wrapText="1"/>
      <protection locked="0"/>
    </xf>
    <xf numFmtId="172" fontId="9" fillId="7" borderId="17" xfId="4" applyNumberFormat="1" applyFont="1" applyFill="1" applyBorder="1" applyAlignment="1" applyProtection="1">
      <alignment horizontal="center" vertical="center" wrapText="1"/>
      <protection locked="0"/>
    </xf>
    <xf numFmtId="172" fontId="13" fillId="7" borderId="21" xfId="4" applyNumberFormat="1" applyFont="1" applyFill="1" applyBorder="1" applyAlignment="1" applyProtection="1">
      <alignment horizontal="center" vertical="center" wrapText="1"/>
      <protection locked="0"/>
    </xf>
    <xf numFmtId="10" fontId="13" fillId="6" borderId="21" xfId="7" applyNumberFormat="1" applyFont="1" applyFill="1" applyBorder="1" applyAlignment="1" applyProtection="1">
      <alignment horizontal="center" vertical="center" wrapText="1"/>
      <protection hidden="1"/>
    </xf>
    <xf numFmtId="10" fontId="13" fillId="6" borderId="4" xfId="7" applyNumberFormat="1" applyFont="1" applyFill="1" applyBorder="1" applyAlignment="1" applyProtection="1">
      <alignment horizontal="center" vertical="center" wrapText="1"/>
      <protection hidden="1"/>
    </xf>
    <xf numFmtId="175" fontId="13" fillId="6" borderId="21" xfId="7" applyNumberFormat="1" applyFont="1" applyFill="1" applyBorder="1" applyAlignment="1" applyProtection="1">
      <alignment horizontal="center" vertical="center" wrapText="1"/>
      <protection locked="0"/>
    </xf>
    <xf numFmtId="175" fontId="13" fillId="6" borderId="4" xfId="7" applyNumberFormat="1" applyFont="1" applyFill="1" applyBorder="1" applyAlignment="1" applyProtection="1">
      <alignment horizontal="center" vertical="center" wrapText="1"/>
      <protection locked="0"/>
    </xf>
    <xf numFmtId="175" fontId="13" fillId="6" borderId="17" xfId="7" applyNumberFormat="1" applyFont="1" applyFill="1" applyBorder="1" applyAlignment="1" applyProtection="1">
      <alignment horizontal="center" vertical="center" wrapText="1"/>
      <protection locked="0"/>
    </xf>
    <xf numFmtId="176" fontId="13" fillId="12" borderId="21" xfId="7" applyNumberFormat="1" applyFont="1" applyFill="1" applyBorder="1" applyAlignment="1" applyProtection="1">
      <alignment horizontal="center" vertical="center" wrapText="1"/>
      <protection locked="0"/>
    </xf>
    <xf numFmtId="176" fontId="13" fillId="12" borderId="4" xfId="7" applyNumberFormat="1" applyFont="1" applyFill="1" applyBorder="1" applyAlignment="1" applyProtection="1">
      <alignment horizontal="center" vertical="center" wrapText="1"/>
      <protection locked="0"/>
    </xf>
    <xf numFmtId="176" fontId="13" fillId="12" borderId="17" xfId="7" applyNumberFormat="1" applyFont="1" applyFill="1" applyBorder="1" applyAlignment="1" applyProtection="1">
      <alignment horizontal="center" vertical="center" wrapText="1"/>
      <protection locked="0"/>
    </xf>
    <xf numFmtId="0" fontId="13" fillId="12" borderId="18" xfId="7" applyNumberFormat="1" applyFont="1" applyFill="1" applyBorder="1" applyAlignment="1" applyProtection="1">
      <alignment horizontal="center" vertical="center" wrapText="1"/>
      <protection locked="0"/>
    </xf>
    <xf numFmtId="0" fontId="13" fillId="12" borderId="22" xfId="7" applyNumberFormat="1" applyFont="1" applyFill="1" applyBorder="1" applyAlignment="1" applyProtection="1">
      <alignment horizontal="center" vertical="center" wrapText="1"/>
      <protection locked="0"/>
    </xf>
    <xf numFmtId="0" fontId="13" fillId="12" borderId="23" xfId="7" applyNumberFormat="1" applyFont="1" applyFill="1" applyBorder="1" applyAlignment="1" applyProtection="1">
      <alignment horizontal="center" vertical="center" wrapText="1"/>
      <protection locked="0"/>
    </xf>
    <xf numFmtId="49" fontId="44" fillId="0" borderId="0" xfId="5" applyNumberFormat="1" applyFont="1" applyAlignment="1">
      <alignment horizontal="left" vertical="center" wrapText="1"/>
    </xf>
    <xf numFmtId="176" fontId="13" fillId="0" borderId="0" xfId="7" applyNumberFormat="1" applyFont="1" applyFill="1" applyBorder="1" applyAlignment="1" applyProtection="1">
      <alignment horizontal="center" vertical="center" wrapText="1"/>
    </xf>
    <xf numFmtId="175" fontId="13" fillId="0" borderId="0" xfId="7" applyNumberFormat="1" applyFont="1" applyFill="1" applyBorder="1" applyAlignment="1" applyProtection="1">
      <alignment horizontal="center" vertical="center" wrapText="1"/>
    </xf>
    <xf numFmtId="175" fontId="45" fillId="7" borderId="6" xfId="7" applyNumberFormat="1" applyFont="1" applyFill="1" applyBorder="1" applyAlignment="1" applyProtection="1">
      <alignment horizontal="center" vertical="center" wrapText="1"/>
    </xf>
    <xf numFmtId="175" fontId="45" fillId="7" borderId="7" xfId="7" applyNumberFormat="1" applyFont="1" applyFill="1" applyBorder="1" applyAlignment="1" applyProtection="1">
      <alignment horizontal="center" vertical="center" wrapText="1"/>
    </xf>
    <xf numFmtId="175" fontId="45" fillId="7" borderId="8" xfId="7" applyNumberFormat="1" applyFont="1" applyFill="1" applyBorder="1" applyAlignment="1" applyProtection="1">
      <alignment horizontal="center" vertical="center" wrapText="1"/>
    </xf>
    <xf numFmtId="0" fontId="47" fillId="18" borderId="4" xfId="0" applyFont="1" applyFill="1" applyBorder="1" applyAlignment="1">
      <alignment vertical="center" wrapText="1"/>
    </xf>
    <xf numFmtId="0" fontId="9" fillId="11" borderId="4" xfId="8" applyFont="1" applyFill="1" applyBorder="1" applyAlignment="1" applyProtection="1">
      <alignment horizontal="center" vertical="center" wrapText="1"/>
    </xf>
    <xf numFmtId="0" fontId="47" fillId="18" borderId="9" xfId="0" applyFont="1" applyFill="1" applyBorder="1" applyAlignment="1">
      <alignment horizontal="justify" vertical="center" wrapText="1"/>
    </xf>
    <xf numFmtId="9" fontId="9" fillId="11" borderId="10" xfId="7" applyFont="1" applyFill="1" applyBorder="1" applyAlignment="1" applyProtection="1">
      <alignment horizontal="center" vertical="center"/>
      <protection locked="0"/>
    </xf>
    <xf numFmtId="9" fontId="9" fillId="11" borderId="11" xfId="7" applyFont="1" applyFill="1" applyBorder="1" applyAlignment="1" applyProtection="1">
      <alignment horizontal="center" vertical="center"/>
      <protection locked="0"/>
    </xf>
    <xf numFmtId="9" fontId="9" fillId="11" borderId="12" xfId="7" applyFont="1" applyFill="1" applyBorder="1" applyAlignment="1" applyProtection="1">
      <alignment horizontal="center" vertical="center"/>
      <protection locked="0"/>
    </xf>
    <xf numFmtId="9" fontId="9" fillId="11" borderId="16" xfId="7" applyFont="1" applyFill="1" applyBorder="1" applyAlignment="1" applyProtection="1">
      <alignment horizontal="center" vertical="center"/>
      <protection locked="0"/>
    </xf>
    <xf numFmtId="9" fontId="9" fillId="11" borderId="4" xfId="7" applyFont="1" applyFill="1" applyBorder="1" applyAlignment="1" applyProtection="1">
      <alignment horizontal="center" vertical="center"/>
      <protection locked="0"/>
    </xf>
    <xf numFmtId="9" fontId="9" fillId="11" borderId="17" xfId="7" applyFont="1" applyFill="1" applyBorder="1" applyAlignment="1" applyProtection="1">
      <alignment horizontal="center" vertical="center"/>
      <protection locked="0"/>
    </xf>
    <xf numFmtId="0" fontId="9" fillId="8" borderId="4" xfId="8" applyFont="1" applyFill="1" applyBorder="1" applyAlignment="1" applyProtection="1">
      <alignment horizontal="center" vertical="center" wrapText="1"/>
    </xf>
    <xf numFmtId="0" fontId="47" fillId="8" borderId="9" xfId="0" applyFont="1" applyFill="1" applyBorder="1" applyAlignment="1">
      <alignment horizontal="justify" vertical="center" wrapText="1"/>
    </xf>
    <xf numFmtId="0" fontId="47" fillId="8" borderId="28" xfId="0" applyFont="1" applyFill="1" applyBorder="1" applyAlignment="1">
      <alignment vertical="center" wrapText="1"/>
    </xf>
    <xf numFmtId="0" fontId="9" fillId="12" borderId="4" xfId="8" applyFont="1" applyFill="1" applyBorder="1" applyAlignment="1" applyProtection="1">
      <alignment horizontal="center" vertical="center" wrapText="1"/>
    </xf>
    <xf numFmtId="0" fontId="47" fillId="19" borderId="9" xfId="0" applyFont="1" applyFill="1" applyBorder="1" applyAlignment="1">
      <alignment horizontal="justify" vertical="center" wrapText="1"/>
    </xf>
    <xf numFmtId="9" fontId="9" fillId="12" borderId="16" xfId="7" applyFont="1" applyFill="1" applyBorder="1" applyAlignment="1" applyProtection="1">
      <alignment horizontal="center" vertical="center"/>
      <protection locked="0"/>
    </xf>
    <xf numFmtId="9" fontId="9" fillId="12" borderId="4" xfId="7" applyFont="1" applyFill="1" applyBorder="1" applyAlignment="1" applyProtection="1">
      <alignment horizontal="center" vertical="center"/>
      <protection locked="0"/>
    </xf>
    <xf numFmtId="9" fontId="9" fillId="12" borderId="17" xfId="7" applyFont="1" applyFill="1" applyBorder="1" applyAlignment="1" applyProtection="1">
      <alignment horizontal="center" vertical="center"/>
      <protection locked="0"/>
    </xf>
    <xf numFmtId="0" fontId="47" fillId="19" borderId="4" xfId="0" applyFont="1" applyFill="1" applyBorder="1" applyAlignment="1">
      <alignment vertical="center" wrapText="1"/>
    </xf>
    <xf numFmtId="0" fontId="9" fillId="6" borderId="4" xfId="8" applyFont="1" applyFill="1" applyBorder="1" applyAlignment="1" applyProtection="1">
      <alignment horizontal="center" vertical="center" wrapText="1"/>
    </xf>
    <xf numFmtId="9" fontId="9" fillId="6" borderId="16" xfId="7" applyFont="1" applyFill="1" applyBorder="1" applyAlignment="1" applyProtection="1">
      <alignment horizontal="center" vertical="center"/>
      <protection locked="0"/>
    </xf>
    <xf numFmtId="9" fontId="9" fillId="6" borderId="4" xfId="7" applyFont="1" applyFill="1" applyBorder="1" applyAlignment="1" applyProtection="1">
      <alignment horizontal="center" vertical="center"/>
      <protection locked="0"/>
    </xf>
    <xf numFmtId="9" fontId="9" fillId="6" borderId="17" xfId="7" applyFont="1" applyFill="1" applyBorder="1" applyAlignment="1" applyProtection="1">
      <alignment horizontal="center" vertical="center"/>
      <protection locked="0"/>
    </xf>
    <xf numFmtId="0" fontId="9" fillId="6" borderId="9" xfId="8" applyFont="1" applyFill="1" applyBorder="1" applyAlignment="1" applyProtection="1">
      <alignment horizontal="justify" vertical="center" wrapText="1"/>
      <protection locked="0"/>
    </xf>
    <xf numFmtId="0" fontId="9" fillId="6" borderId="22" xfId="8" applyFont="1" applyFill="1" applyBorder="1" applyAlignment="1" applyProtection="1">
      <alignment horizontal="center" vertical="center" wrapText="1"/>
    </xf>
    <xf numFmtId="0" fontId="9" fillId="6" borderId="32" xfId="8" applyFont="1" applyFill="1" applyBorder="1" applyAlignment="1" applyProtection="1">
      <alignment horizontal="justify" vertical="center" wrapText="1"/>
      <protection locked="0"/>
    </xf>
    <xf numFmtId="9" fontId="9" fillId="6" borderId="25" xfId="7" applyFont="1" applyFill="1" applyBorder="1" applyAlignment="1" applyProtection="1">
      <alignment horizontal="center" vertical="center"/>
      <protection locked="0"/>
    </xf>
    <xf numFmtId="9" fontId="9" fillId="6" borderId="22" xfId="7" applyFont="1" applyFill="1" applyBorder="1" applyAlignment="1" applyProtection="1">
      <alignment horizontal="center" vertical="center"/>
      <protection locked="0"/>
    </xf>
    <xf numFmtId="9" fontId="9" fillId="6" borderId="23" xfId="7" applyFont="1" applyFill="1" applyBorder="1" applyAlignment="1" applyProtection="1">
      <alignment horizontal="center" vertical="center"/>
      <protection locked="0"/>
    </xf>
    <xf numFmtId="0" fontId="49" fillId="0" borderId="0" xfId="5" applyFont="1" applyAlignment="1" applyProtection="1">
      <alignment vertical="center"/>
      <protection locked="0"/>
    </xf>
    <xf numFmtId="0" fontId="49" fillId="0" borderId="0" xfId="5" applyFont="1" applyAlignment="1" applyProtection="1">
      <alignment horizontal="center" vertical="center"/>
      <protection locked="0"/>
    </xf>
    <xf numFmtId="172" fontId="49" fillId="0" borderId="0" xfId="4" applyNumberFormat="1" applyFont="1" applyAlignment="1" applyProtection="1">
      <alignment horizontal="center" vertical="center"/>
      <protection locked="0"/>
    </xf>
    <xf numFmtId="172" fontId="49" fillId="0" borderId="0" xfId="4" applyNumberFormat="1" applyFont="1" applyAlignment="1" applyProtection="1">
      <alignment vertical="center"/>
      <protection locked="0"/>
    </xf>
    <xf numFmtId="0" fontId="13" fillId="0" borderId="4" xfId="5" applyFont="1" applyBorder="1" applyAlignment="1" applyProtection="1">
      <alignment vertical="center"/>
      <protection hidden="1"/>
    </xf>
    <xf numFmtId="10" fontId="13" fillId="0" borderId="4" xfId="7" applyNumberFormat="1" applyFont="1" applyBorder="1" applyAlignment="1" applyProtection="1">
      <alignment horizontal="center" vertical="center"/>
      <protection hidden="1"/>
    </xf>
    <xf numFmtId="0" fontId="49" fillId="0" borderId="0" xfId="5" applyFont="1" applyAlignment="1" applyProtection="1">
      <alignment vertical="center"/>
      <protection hidden="1"/>
    </xf>
    <xf numFmtId="0" fontId="13" fillId="0" borderId="0" xfId="5" applyFont="1" applyAlignment="1" applyProtection="1">
      <alignment vertical="center"/>
      <protection hidden="1"/>
    </xf>
    <xf numFmtId="172" fontId="13" fillId="0" borderId="0" xfId="4" applyNumberFormat="1" applyFont="1" applyAlignment="1" applyProtection="1">
      <alignment horizontal="center" vertical="center"/>
      <protection hidden="1"/>
    </xf>
    <xf numFmtId="172" fontId="13" fillId="0" borderId="0" xfId="4" applyNumberFormat="1" applyFont="1" applyAlignment="1" applyProtection="1">
      <alignment vertical="center"/>
      <protection hidden="1"/>
    </xf>
    <xf numFmtId="0" fontId="27" fillId="0" borderId="0" xfId="5" applyFont="1" applyAlignment="1" applyProtection="1">
      <alignment vertical="center" wrapText="1"/>
      <protection locked="0"/>
    </xf>
    <xf numFmtId="0" fontId="27" fillId="0" borderId="0" xfId="5" applyFont="1" applyAlignment="1" applyProtection="1">
      <alignment horizontal="center" vertical="center" wrapText="1"/>
      <protection locked="0"/>
    </xf>
    <xf numFmtId="10" fontId="13" fillId="0" borderId="4" xfId="2" applyNumberFormat="1" applyFont="1" applyBorder="1" applyAlignment="1" applyProtection="1">
      <alignment horizontal="center" vertical="center" wrapText="1"/>
      <protection hidden="1"/>
    </xf>
    <xf numFmtId="10" fontId="13" fillId="0" borderId="0" xfId="5" applyNumberFormat="1" applyFont="1" applyAlignment="1" applyProtection="1">
      <alignment vertical="center"/>
      <protection hidden="1"/>
    </xf>
    <xf numFmtId="9" fontId="28" fillId="0" borderId="0" xfId="7" applyFont="1" applyAlignment="1" applyProtection="1">
      <alignment vertical="center" wrapText="1"/>
      <protection hidden="1"/>
    </xf>
    <xf numFmtId="172" fontId="27" fillId="0" borderId="0" xfId="4" applyNumberFormat="1" applyFont="1" applyAlignment="1" applyProtection="1">
      <alignment horizontal="center" vertical="center" wrapText="1"/>
      <protection hidden="1"/>
    </xf>
    <xf numFmtId="172" fontId="27" fillId="0" borderId="0" xfId="4" applyNumberFormat="1" applyFont="1" applyAlignment="1" applyProtection="1">
      <alignment vertical="center" wrapText="1"/>
      <protection hidden="1"/>
    </xf>
    <xf numFmtId="0" fontId="27" fillId="0" borderId="0" xfId="5" applyFont="1" applyAlignment="1" applyProtection="1">
      <alignment vertical="center" wrapText="1"/>
      <protection hidden="1"/>
    </xf>
    <xf numFmtId="174" fontId="27" fillId="0" borderId="0" xfId="4" applyNumberFormat="1" applyFont="1" applyAlignment="1" applyProtection="1">
      <alignment horizontal="center" vertical="center" wrapText="1"/>
      <protection locked="0"/>
    </xf>
    <xf numFmtId="174" fontId="27" fillId="0" borderId="0" xfId="4" applyNumberFormat="1" applyFont="1" applyAlignment="1" applyProtection="1">
      <alignment vertical="center" wrapText="1"/>
      <protection locked="0"/>
    </xf>
    <xf numFmtId="0" fontId="27" fillId="0" borderId="0" xfId="5" applyFont="1" applyAlignment="1" applyProtection="1">
      <alignment horizontal="center" vertical="center"/>
      <protection locked="0"/>
    </xf>
    <xf numFmtId="172" fontId="27" fillId="0" borderId="0" xfId="4" applyNumberFormat="1" applyFont="1" applyAlignment="1" applyProtection="1">
      <alignment horizontal="left" vertical="center"/>
      <protection locked="0"/>
    </xf>
    <xf numFmtId="9" fontId="27" fillId="0" borderId="0" xfId="2" applyFont="1" applyAlignment="1" applyProtection="1">
      <alignment horizontal="center" vertical="center"/>
    </xf>
    <xf numFmtId="176" fontId="27" fillId="0" borderId="0" xfId="5" applyNumberFormat="1" applyFont="1" applyAlignment="1" applyProtection="1">
      <alignment vertical="center"/>
      <protection locked="0"/>
    </xf>
    <xf numFmtId="172" fontId="13" fillId="0" borderId="0" xfId="4" applyNumberFormat="1" applyFont="1" applyBorder="1" applyAlignment="1" applyProtection="1">
      <alignment horizontal="center" vertical="center" wrapText="1"/>
      <protection locked="0"/>
    </xf>
    <xf numFmtId="0" fontId="47" fillId="6" borderId="9" xfId="0" applyFont="1" applyFill="1" applyBorder="1" applyAlignment="1" applyProtection="1">
      <alignment horizontal="justify" vertical="center" wrapText="1"/>
      <protection locked="0"/>
    </xf>
    <xf numFmtId="0" fontId="9" fillId="6" borderId="4" xfId="8" applyFont="1" applyFill="1" applyBorder="1" applyAlignment="1" applyProtection="1">
      <alignment horizontal="center" vertical="center" wrapText="1"/>
      <protection locked="0" hidden="1"/>
    </xf>
    <xf numFmtId="0" fontId="28" fillId="7" borderId="6" xfId="4" applyNumberFormat="1" applyFont="1" applyFill="1" applyBorder="1" applyAlignment="1" applyProtection="1">
      <alignment horizontal="center" vertical="center" wrapText="1"/>
    </xf>
    <xf numFmtId="0" fontId="28" fillId="7" borderId="7" xfId="4" applyNumberFormat="1" applyFont="1" applyFill="1" applyBorder="1" applyAlignment="1" applyProtection="1">
      <alignment horizontal="center" vertical="center" wrapText="1"/>
    </xf>
    <xf numFmtId="0" fontId="23" fillId="0" borderId="77" xfId="0" applyFont="1" applyBorder="1" applyAlignment="1" applyProtection="1">
      <alignment vertical="center"/>
      <protection locked="0" hidden="1"/>
    </xf>
    <xf numFmtId="0" fontId="41" fillId="0" borderId="77" xfId="0" applyFont="1" applyBorder="1" applyProtection="1">
      <protection locked="0" hidden="1"/>
    </xf>
    <xf numFmtId="0" fontId="27" fillId="0" borderId="0" xfId="5" applyFont="1" applyAlignment="1">
      <alignment vertical="center"/>
    </xf>
    <xf numFmtId="172" fontId="27" fillId="0" borderId="0" xfId="4" applyNumberFormat="1" applyFont="1" applyAlignment="1" applyProtection="1">
      <alignment horizontal="center" vertical="center"/>
    </xf>
    <xf numFmtId="172" fontId="27" fillId="0" borderId="0" xfId="4" applyNumberFormat="1" applyFont="1" applyAlignment="1" applyProtection="1">
      <alignment horizontal="left" vertical="center"/>
    </xf>
    <xf numFmtId="0" fontId="27" fillId="0" borderId="0" xfId="5" applyFont="1" applyAlignment="1">
      <alignment horizontal="center" vertical="center"/>
    </xf>
    <xf numFmtId="0" fontId="53" fillId="13" borderId="15" xfId="10" applyFont="1" applyFill="1" applyBorder="1" applyAlignment="1">
      <alignment vertical="center" wrapText="1"/>
    </xf>
    <xf numFmtId="0" fontId="14" fillId="0" borderId="0" xfId="9" applyFont="1" applyAlignment="1">
      <alignment vertical="center"/>
    </xf>
    <xf numFmtId="0" fontId="53" fillId="13" borderId="17" xfId="10" applyFont="1" applyFill="1" applyBorder="1" applyAlignment="1">
      <alignment vertical="center" wrapText="1"/>
    </xf>
    <xf numFmtId="0" fontId="53" fillId="13" borderId="33" xfId="10" applyFont="1" applyFill="1" applyBorder="1" applyAlignment="1">
      <alignment vertical="center" wrapText="1"/>
    </xf>
    <xf numFmtId="0" fontId="51" fillId="27" borderId="43" xfId="0" applyFont="1" applyFill="1" applyBorder="1" applyAlignment="1">
      <alignment horizontal="center" vertical="center" wrapText="1"/>
    </xf>
    <xf numFmtId="0" fontId="37" fillId="27" borderId="43" xfId="0" applyFont="1" applyFill="1" applyBorder="1" applyAlignment="1">
      <alignment horizontal="center" vertical="center" wrapText="1"/>
    </xf>
    <xf numFmtId="172" fontId="27" fillId="0" borderId="43" xfId="4" applyNumberFormat="1" applyFont="1" applyBorder="1" applyAlignment="1" applyProtection="1">
      <alignment horizontal="center" vertical="center"/>
    </xf>
    <xf numFmtId="0" fontId="53" fillId="13" borderId="13" xfId="10" applyFont="1" applyFill="1" applyBorder="1" applyAlignment="1">
      <alignment vertical="center" wrapText="1"/>
    </xf>
    <xf numFmtId="0" fontId="14" fillId="28" borderId="42" xfId="0" applyFont="1" applyFill="1" applyBorder="1" applyAlignment="1">
      <alignment vertical="center" wrapText="1"/>
    </xf>
    <xf numFmtId="0" fontId="40" fillId="28" borderId="42" xfId="0" applyFont="1" applyFill="1" applyBorder="1" applyAlignment="1">
      <alignment vertical="center"/>
    </xf>
    <xf numFmtId="0" fontId="14" fillId="0" borderId="42" xfId="0" applyFont="1" applyBorder="1" applyAlignment="1">
      <alignment vertical="center" wrapText="1"/>
    </xf>
    <xf numFmtId="0" fontId="40" fillId="0" borderId="42" xfId="0" applyFont="1" applyBorder="1" applyAlignment="1">
      <alignment vertical="center"/>
    </xf>
    <xf numFmtId="0" fontId="9" fillId="13" borderId="13" xfId="11" applyFill="1" applyBorder="1" applyAlignment="1">
      <alignment vertical="center" wrapText="1"/>
    </xf>
    <xf numFmtId="0" fontId="14" fillId="0" borderId="44" xfId="0" applyFont="1" applyBorder="1" applyAlignment="1">
      <alignment vertical="center" wrapText="1"/>
    </xf>
    <xf numFmtId="0" fontId="40" fillId="0" borderId="44" xfId="0" applyFont="1" applyBorder="1" applyAlignment="1">
      <alignment vertical="center"/>
    </xf>
    <xf numFmtId="0" fontId="9" fillId="13" borderId="17" xfId="11" applyFill="1" applyBorder="1" applyAlignment="1">
      <alignment vertical="center" wrapText="1"/>
    </xf>
    <xf numFmtId="0" fontId="53" fillId="13" borderId="23" xfId="10" applyFont="1" applyFill="1" applyBorder="1" applyAlignment="1">
      <alignment vertical="center" wrapText="1"/>
    </xf>
    <xf numFmtId="0" fontId="14" fillId="0" borderId="14" xfId="0" applyFont="1" applyBorder="1" applyProtection="1">
      <protection locked="0"/>
    </xf>
    <xf numFmtId="169" fontId="14" fillId="0" borderId="14" xfId="17" applyFont="1" applyBorder="1" applyProtection="1">
      <protection locked="0"/>
    </xf>
    <xf numFmtId="0" fontId="14" fillId="0" borderId="4" xfId="0" applyFont="1" applyBorder="1" applyProtection="1">
      <protection locked="0"/>
    </xf>
    <xf numFmtId="169" fontId="14" fillId="0" borderId="4" xfId="17" applyFont="1" applyBorder="1" applyProtection="1">
      <protection locked="0"/>
    </xf>
    <xf numFmtId="0" fontId="14" fillId="0" borderId="20" xfId="0" applyFont="1" applyBorder="1" applyProtection="1">
      <protection locked="0"/>
    </xf>
    <xf numFmtId="169" fontId="14" fillId="0" borderId="20" xfId="17" applyFont="1" applyBorder="1" applyProtection="1">
      <protection locked="0"/>
    </xf>
    <xf numFmtId="0" fontId="14" fillId="0" borderId="66" xfId="0" applyFont="1" applyBorder="1" applyProtection="1">
      <protection locked="0"/>
    </xf>
    <xf numFmtId="169" fontId="14" fillId="0" borderId="66" xfId="17" applyFont="1" applyBorder="1" applyProtection="1">
      <protection locked="0"/>
    </xf>
    <xf numFmtId="0" fontId="14" fillId="0" borderId="14" xfId="0" applyFont="1" applyBorder="1" applyAlignment="1" applyProtection="1">
      <alignment vertical="center"/>
      <protection locked="0"/>
    </xf>
    <xf numFmtId="169" fontId="14" fillId="0" borderId="60" xfId="17" applyFont="1" applyBorder="1" applyProtection="1">
      <protection locked="0"/>
    </xf>
    <xf numFmtId="0" fontId="14" fillId="0" borderId="4" xfId="0" applyFont="1" applyBorder="1" applyAlignment="1" applyProtection="1">
      <alignment vertical="center"/>
      <protection locked="0"/>
    </xf>
    <xf numFmtId="0" fontId="14" fillId="0" borderId="66" xfId="0" applyFont="1" applyBorder="1" applyAlignment="1" applyProtection="1">
      <alignment vertical="center"/>
      <protection locked="0"/>
    </xf>
    <xf numFmtId="169" fontId="14" fillId="0" borderId="63" xfId="17" applyFont="1" applyBorder="1" applyProtection="1">
      <protection locked="0"/>
    </xf>
    <xf numFmtId="169" fontId="14" fillId="0" borderId="64" xfId="17" applyFont="1" applyBorder="1" applyProtection="1">
      <protection locked="0"/>
    </xf>
    <xf numFmtId="169" fontId="14" fillId="0" borderId="67" xfId="17" applyFont="1" applyBorder="1" applyProtection="1">
      <protection locked="0"/>
    </xf>
    <xf numFmtId="169" fontId="14" fillId="0" borderId="63" xfId="17" applyFont="1" applyBorder="1" applyAlignment="1" applyProtection="1">
      <alignment vertical="center"/>
      <protection locked="0"/>
    </xf>
    <xf numFmtId="169" fontId="14" fillId="0" borderId="63" xfId="17" applyFont="1" applyFill="1" applyBorder="1" applyAlignment="1" applyProtection="1">
      <alignment vertical="center"/>
      <protection locked="0"/>
    </xf>
    <xf numFmtId="170" fontId="14" fillId="0" borderId="63" xfId="1" applyFont="1" applyBorder="1" applyProtection="1">
      <protection locked="0"/>
    </xf>
    <xf numFmtId="0" fontId="14" fillId="0" borderId="62" xfId="0" applyFont="1" applyBorder="1" applyAlignment="1" applyProtection="1">
      <alignment horizontal="center"/>
      <protection locked="0"/>
    </xf>
    <xf numFmtId="0" fontId="14" fillId="0" borderId="75" xfId="0" applyFont="1" applyBorder="1" applyAlignment="1" applyProtection="1">
      <alignment horizontal="center"/>
      <protection locked="0"/>
    </xf>
    <xf numFmtId="0" fontId="14" fillId="0" borderId="65" xfId="0" applyFont="1" applyBorder="1" applyAlignment="1" applyProtection="1">
      <alignment horizontal="center"/>
      <protection locked="0"/>
    </xf>
    <xf numFmtId="44" fontId="25" fillId="0" borderId="63" xfId="14" applyFont="1" applyBorder="1" applyAlignment="1" applyProtection="1">
      <alignment horizontal="center" vertical="center"/>
    </xf>
    <xf numFmtId="44" fontId="25" fillId="0" borderId="64" xfId="14" applyFont="1" applyBorder="1" applyAlignment="1" applyProtection="1">
      <alignment horizontal="center" vertical="center"/>
    </xf>
    <xf numFmtId="44" fontId="11" fillId="13" borderId="58" xfId="12" applyNumberFormat="1" applyFont="1" applyFill="1" applyBorder="1" applyAlignment="1" applyProtection="1">
      <alignment horizontal="left" vertical="center" wrapText="1"/>
    </xf>
    <xf numFmtId="0" fontId="23" fillId="22" borderId="20" xfId="12" applyFont="1" applyBorder="1" applyAlignment="1" applyProtection="1">
      <alignment horizontal="center" vertical="center" wrapText="1"/>
      <protection hidden="1"/>
    </xf>
    <xf numFmtId="9" fontId="47" fillId="8" borderId="16" xfId="2" applyFont="1" applyFill="1" applyBorder="1" applyAlignment="1" applyProtection="1">
      <alignment horizontal="center" vertical="center" wrapText="1"/>
      <protection locked="0"/>
    </xf>
    <xf numFmtId="9" fontId="47" fillId="8" borderId="4" xfId="2" applyFont="1" applyFill="1" applyBorder="1" applyAlignment="1" applyProtection="1">
      <alignment horizontal="center" vertical="center" wrapText="1"/>
      <protection locked="0"/>
    </xf>
    <xf numFmtId="9" fontId="47" fillId="8" borderId="17" xfId="2" applyFont="1" applyFill="1" applyBorder="1" applyAlignment="1" applyProtection="1">
      <alignment horizontal="center" vertical="center" wrapText="1"/>
      <protection locked="0"/>
    </xf>
    <xf numFmtId="0" fontId="14" fillId="13" borderId="17" xfId="0" applyFont="1" applyFill="1" applyBorder="1" applyAlignment="1" applyProtection="1">
      <alignment horizontal="left" vertical="top"/>
      <protection locked="0"/>
    </xf>
    <xf numFmtId="0" fontId="14" fillId="13" borderId="23" xfId="0" applyFont="1" applyFill="1" applyBorder="1" applyAlignment="1" applyProtection="1">
      <alignment horizontal="left" vertical="top"/>
      <protection locked="0"/>
    </xf>
    <xf numFmtId="0" fontId="14" fillId="0" borderId="0" xfId="0" applyFont="1" applyAlignment="1" applyProtection="1">
      <alignment horizontal="left" wrapText="1"/>
      <protection hidden="1"/>
    </xf>
    <xf numFmtId="0" fontId="22" fillId="0" borderId="0" xfId="0" applyFont="1" applyAlignment="1" applyProtection="1">
      <alignment horizontal="center" vertical="center"/>
      <protection hidden="1"/>
    </xf>
    <xf numFmtId="0" fontId="47" fillId="11" borderId="0" xfId="0" applyFont="1" applyFill="1" applyAlignment="1" applyProtection="1">
      <alignment vertical="center"/>
      <protection hidden="1"/>
    </xf>
    <xf numFmtId="0" fontId="25" fillId="0" borderId="4" xfId="0" applyFont="1" applyBorder="1" applyAlignment="1">
      <alignment wrapText="1"/>
    </xf>
    <xf numFmtId="0" fontId="25" fillId="0" borderId="0" xfId="0" applyFont="1" applyAlignment="1">
      <alignment wrapText="1"/>
    </xf>
    <xf numFmtId="0" fontId="62" fillId="0" borderId="0" xfId="0" applyFont="1"/>
    <xf numFmtId="0" fontId="62" fillId="0" borderId="42" xfId="0" applyFont="1" applyBorder="1"/>
    <xf numFmtId="0" fontId="62" fillId="0" borderId="0" xfId="0" applyFont="1" applyAlignment="1">
      <alignment horizontal="center" vertical="center"/>
    </xf>
    <xf numFmtId="0" fontId="0" fillId="0" borderId="0" xfId="0" applyAlignment="1">
      <alignment horizontal="center" vertical="center"/>
    </xf>
    <xf numFmtId="0" fontId="19" fillId="42" borderId="4" xfId="0" applyFont="1" applyFill="1" applyBorder="1" applyAlignment="1">
      <alignment horizontal="center" vertical="center"/>
    </xf>
    <xf numFmtId="0" fontId="27" fillId="13" borderId="4" xfId="0" applyFont="1" applyFill="1" applyBorder="1" applyAlignment="1" applyProtection="1">
      <alignment horizontal="left" vertical="center" wrapText="1"/>
      <protection hidden="1"/>
    </xf>
    <xf numFmtId="0" fontId="27" fillId="20" borderId="0" xfId="0" applyFont="1" applyFill="1" applyAlignment="1" applyProtection="1">
      <alignment horizontal="right" vertical="center" wrapText="1"/>
      <protection hidden="1"/>
    </xf>
    <xf numFmtId="0" fontId="63" fillId="20" borderId="0" xfId="0" applyFont="1" applyFill="1"/>
    <xf numFmtId="9" fontId="62" fillId="0" borderId="89" xfId="2" applyFont="1" applyBorder="1"/>
    <xf numFmtId="9" fontId="62" fillId="0" borderId="90" xfId="2" applyFont="1" applyBorder="1"/>
    <xf numFmtId="172" fontId="64" fillId="31" borderId="4" xfId="24" applyNumberFormat="1" applyFont="1" applyFill="1" applyBorder="1" applyAlignment="1">
      <alignment horizontal="center" vertical="center"/>
    </xf>
    <xf numFmtId="9" fontId="47" fillId="0" borderId="4" xfId="2" applyFont="1" applyBorder="1" applyAlignment="1" applyProtection="1">
      <alignment horizontal="center" vertical="center"/>
      <protection hidden="1"/>
    </xf>
    <xf numFmtId="0" fontId="27" fillId="13" borderId="0" xfId="0" applyFont="1" applyFill="1" applyAlignment="1" applyProtection="1">
      <alignment horizontal="left" vertical="center" wrapText="1"/>
      <protection hidden="1"/>
    </xf>
    <xf numFmtId="0" fontId="63" fillId="20" borderId="0" xfId="0" applyFont="1" applyFill="1" applyAlignment="1">
      <alignment horizontal="center"/>
    </xf>
    <xf numFmtId="0" fontId="47" fillId="0" borderId="0" xfId="0" applyFont="1" applyAlignment="1" applyProtection="1">
      <alignment vertical="center"/>
      <protection hidden="1"/>
    </xf>
    <xf numFmtId="172" fontId="64" fillId="5" borderId="4" xfId="24" applyNumberFormat="1" applyFont="1" applyFill="1" applyBorder="1" applyAlignment="1">
      <alignment horizontal="center" vertical="center"/>
    </xf>
    <xf numFmtId="0" fontId="14" fillId="20" borderId="0" xfId="0" applyFont="1" applyFill="1"/>
    <xf numFmtId="0" fontId="62" fillId="0" borderId="44" xfId="0" applyFont="1" applyBorder="1"/>
    <xf numFmtId="9" fontId="62" fillId="0" borderId="91" xfId="2" applyFont="1" applyBorder="1"/>
    <xf numFmtId="9" fontId="62" fillId="0" borderId="91" xfId="2" applyFont="1" applyBorder="1" applyAlignment="1">
      <alignment horizontal="right"/>
    </xf>
    <xf numFmtId="41" fontId="62" fillId="0" borderId="0" xfId="19" applyFont="1" applyFill="1" applyBorder="1"/>
    <xf numFmtId="0" fontId="14" fillId="0" borderId="4" xfId="0" applyFont="1" applyBorder="1"/>
    <xf numFmtId="0" fontId="62" fillId="0" borderId="89" xfId="0" applyFont="1" applyBorder="1"/>
    <xf numFmtId="0" fontId="65" fillId="29" borderId="45" xfId="25" applyFont="1" applyFill="1" applyBorder="1" applyAlignment="1" applyProtection="1">
      <alignment vertical="center" wrapText="1"/>
      <protection hidden="1"/>
    </xf>
    <xf numFmtId="0" fontId="65" fillId="29" borderId="0" xfId="25" applyFont="1" applyFill="1" applyBorder="1" applyAlignment="1" applyProtection="1">
      <alignment vertical="center" wrapText="1"/>
      <protection hidden="1"/>
    </xf>
    <xf numFmtId="0" fontId="14" fillId="0" borderId="89" xfId="0" applyFont="1" applyBorder="1"/>
    <xf numFmtId="9" fontId="62" fillId="0" borderId="0" xfId="2" applyFont="1"/>
    <xf numFmtId="0" fontId="14" fillId="20" borderId="89" xfId="0" applyFont="1" applyFill="1" applyBorder="1" applyAlignment="1">
      <alignment wrapText="1"/>
    </xf>
    <xf numFmtId="0" fontId="14" fillId="20" borderId="0" xfId="0" applyFont="1" applyFill="1" applyAlignment="1">
      <alignment wrapText="1"/>
    </xf>
    <xf numFmtId="0" fontId="62" fillId="0" borderId="91" xfId="0" applyFont="1" applyBorder="1"/>
    <xf numFmtId="9" fontId="62" fillId="0" borderId="92" xfId="2" applyFont="1" applyBorder="1"/>
    <xf numFmtId="0" fontId="14" fillId="0" borderId="0" xfId="0" applyFont="1" applyAlignment="1">
      <alignment wrapText="1"/>
    </xf>
    <xf numFmtId="0" fontId="62" fillId="0" borderId="0" xfId="0" applyFont="1" applyAlignment="1">
      <alignment horizontal="left"/>
    </xf>
    <xf numFmtId="9" fontId="62" fillId="0" borderId="0" xfId="2" applyFont="1" applyAlignment="1">
      <alignment horizontal="left"/>
    </xf>
    <xf numFmtId="0" fontId="62" fillId="28" borderId="89" xfId="0" applyFont="1" applyFill="1" applyBorder="1"/>
    <xf numFmtId="0" fontId="14" fillId="20" borderId="89" xfId="0" applyFont="1" applyFill="1" applyBorder="1" applyAlignment="1">
      <alignment vertical="center" wrapText="1"/>
    </xf>
    <xf numFmtId="0" fontId="14" fillId="20" borderId="0" xfId="0" applyFont="1" applyFill="1" applyAlignment="1">
      <alignment vertical="center" wrapText="1"/>
    </xf>
    <xf numFmtId="0" fontId="14" fillId="0" borderId="0" xfId="0" applyFont="1" applyAlignment="1">
      <alignment vertical="center"/>
    </xf>
    <xf numFmtId="0" fontId="14" fillId="20" borderId="0" xfId="0" applyFont="1" applyFill="1" applyAlignment="1">
      <alignment vertical="center"/>
    </xf>
    <xf numFmtId="0" fontId="14" fillId="0" borderId="0" xfId="0" applyFont="1" applyAlignment="1">
      <alignment horizontal="left" vertical="center" wrapText="1"/>
    </xf>
    <xf numFmtId="0" fontId="14" fillId="28" borderId="89" xfId="0" applyFont="1" applyFill="1" applyBorder="1"/>
    <xf numFmtId="0" fontId="14" fillId="28" borderId="42" xfId="0" applyFont="1" applyFill="1" applyBorder="1"/>
    <xf numFmtId="0" fontId="14" fillId="20" borderId="42" xfId="0" applyFont="1" applyFill="1" applyBorder="1"/>
    <xf numFmtId="0" fontId="14" fillId="0" borderId="42" xfId="0" applyFont="1" applyBorder="1"/>
    <xf numFmtId="0" fontId="14" fillId="28" borderId="0" xfId="0" applyFont="1" applyFill="1"/>
    <xf numFmtId="0" fontId="66" fillId="0" borderId="0" xfId="0" applyFont="1"/>
    <xf numFmtId="0" fontId="14"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14" fillId="0" borderId="0" xfId="0" applyFont="1" applyAlignment="1" applyProtection="1">
      <alignment horizontal="left"/>
      <protection hidden="1"/>
    </xf>
    <xf numFmtId="0" fontId="14" fillId="0" borderId="33" xfId="0" applyFont="1" applyBorder="1" applyAlignment="1" applyProtection="1">
      <alignment horizontal="right"/>
      <protection hidden="1"/>
    </xf>
    <xf numFmtId="9" fontId="14" fillId="0" borderId="0" xfId="0" applyNumberFormat="1" applyFont="1" applyProtection="1">
      <protection hidden="1"/>
    </xf>
    <xf numFmtId="0" fontId="14" fillId="0" borderId="13" xfId="0" applyFont="1" applyBorder="1" applyProtection="1">
      <protection locked="0"/>
    </xf>
    <xf numFmtId="0" fontId="25" fillId="13" borderId="0" xfId="0" applyFont="1" applyFill="1" applyAlignment="1" applyProtection="1">
      <alignment horizontal="center"/>
      <protection hidden="1"/>
    </xf>
    <xf numFmtId="0" fontId="47" fillId="0" borderId="0" xfId="0" applyFont="1" applyAlignment="1" applyProtection="1">
      <alignment vertical="center"/>
      <protection locked="0"/>
    </xf>
    <xf numFmtId="182" fontId="14" fillId="0" borderId="0" xfId="17" applyNumberFormat="1" applyFont="1" applyProtection="1">
      <protection hidden="1"/>
    </xf>
    <xf numFmtId="0" fontId="47" fillId="0" borderId="4" xfId="0" applyFont="1" applyBorder="1" applyAlignment="1" applyProtection="1">
      <alignment vertical="center"/>
      <protection hidden="1"/>
    </xf>
    <xf numFmtId="0" fontId="47" fillId="0" borderId="4" xfId="0" applyFont="1" applyBorder="1" applyAlignment="1" applyProtection="1">
      <alignment horizontal="left" vertical="center"/>
      <protection hidden="1"/>
    </xf>
    <xf numFmtId="0" fontId="54" fillId="0" borderId="0" xfId="0" applyFont="1" applyAlignment="1" applyProtection="1">
      <alignment horizontal="center" vertical="center"/>
      <protection locked="0"/>
    </xf>
    <xf numFmtId="0" fontId="47" fillId="0" borderId="0" xfId="0" applyFont="1" applyAlignment="1" applyProtection="1">
      <alignment horizontal="left" vertical="center"/>
      <protection hidden="1"/>
    </xf>
    <xf numFmtId="0" fontId="54" fillId="0" borderId="0" xfId="0" applyFont="1" applyAlignment="1" applyProtection="1">
      <alignment vertical="center"/>
      <protection locked="0"/>
    </xf>
    <xf numFmtId="0" fontId="35" fillId="0" borderId="0" xfId="0" applyFont="1" applyAlignment="1" applyProtection="1">
      <alignment vertical="center"/>
      <protection hidden="1"/>
    </xf>
    <xf numFmtId="0" fontId="47" fillId="0" borderId="0" xfId="0" applyFont="1" applyAlignment="1">
      <alignment vertical="center"/>
    </xf>
    <xf numFmtId="0" fontId="47" fillId="0" borderId="0" xfId="0" applyFont="1" applyAlignment="1">
      <alignment horizontal="center" vertical="center"/>
    </xf>
    <xf numFmtId="0" fontId="74" fillId="13" borderId="4" xfId="0" applyFont="1" applyFill="1" applyBorder="1" applyAlignment="1" applyProtection="1">
      <alignment horizontal="center" vertical="center" wrapText="1"/>
      <protection hidden="1"/>
    </xf>
    <xf numFmtId="0" fontId="65" fillId="13" borderId="4" xfId="0" applyFont="1" applyFill="1" applyBorder="1" applyAlignment="1" applyProtection="1">
      <alignment horizontal="center" vertical="center" wrapText="1"/>
      <protection hidden="1"/>
    </xf>
    <xf numFmtId="0" fontId="35" fillId="13" borderId="4" xfId="0" applyFont="1" applyFill="1" applyBorder="1" applyAlignment="1" applyProtection="1">
      <alignment horizontal="center" vertical="center" wrapText="1"/>
      <protection hidden="1"/>
    </xf>
    <xf numFmtId="0" fontId="47" fillId="13" borderId="0" xfId="0" applyFont="1" applyFill="1" applyAlignment="1" applyProtection="1">
      <alignment horizontal="center" vertical="center"/>
      <protection hidden="1"/>
    </xf>
    <xf numFmtId="0" fontId="35" fillId="13" borderId="0" xfId="0" applyFont="1" applyFill="1" applyAlignment="1" applyProtection="1">
      <alignment horizontal="center" vertical="center" wrapText="1"/>
      <protection hidden="1"/>
    </xf>
    <xf numFmtId="0" fontId="47" fillId="36" borderId="4" xfId="0" applyFont="1" applyFill="1" applyBorder="1" applyAlignment="1" applyProtection="1">
      <alignment vertical="center"/>
      <protection locked="0" hidden="1"/>
    </xf>
    <xf numFmtId="0" fontId="47" fillId="13" borderId="0" xfId="0" applyFont="1" applyFill="1" applyAlignment="1" applyProtection="1">
      <alignment vertical="center"/>
      <protection locked="0" hidden="1"/>
    </xf>
    <xf numFmtId="0" fontId="47" fillId="13" borderId="0" xfId="0" applyFont="1" applyFill="1" applyAlignment="1">
      <alignment horizontal="center" vertical="center"/>
    </xf>
    <xf numFmtId="0" fontId="9" fillId="0" borderId="4" xfId="0" applyFont="1" applyBorder="1" applyAlignment="1" applyProtection="1">
      <alignment horizontal="center" vertical="center"/>
      <protection hidden="1"/>
    </xf>
    <xf numFmtId="0" fontId="47" fillId="0" borderId="0" xfId="0" applyFont="1" applyAlignment="1" applyProtection="1">
      <alignment vertical="center"/>
      <protection locked="0" hidden="1"/>
    </xf>
    <xf numFmtId="0" fontId="47" fillId="13" borderId="0" xfId="0" applyFont="1" applyFill="1" applyAlignment="1" applyProtection="1">
      <alignment vertical="center"/>
      <protection hidden="1"/>
    </xf>
    <xf numFmtId="0" fontId="47" fillId="13" borderId="0" xfId="0" applyFont="1" applyFill="1" applyAlignment="1">
      <alignment vertical="center"/>
    </xf>
    <xf numFmtId="0" fontId="47" fillId="0" borderId="0" xfId="0" applyFont="1" applyAlignment="1" applyProtection="1">
      <alignment vertical="center" wrapText="1"/>
      <protection hidden="1"/>
    </xf>
    <xf numFmtId="0" fontId="35" fillId="13" borderId="0" xfId="0" applyFont="1" applyFill="1" applyAlignment="1" applyProtection="1">
      <alignment vertical="center"/>
      <protection hidden="1"/>
    </xf>
    <xf numFmtId="0" fontId="75" fillId="13" borderId="0" xfId="0" applyFont="1" applyFill="1" applyAlignment="1" applyProtection="1">
      <alignment vertical="center"/>
      <protection hidden="1"/>
    </xf>
    <xf numFmtId="0" fontId="35" fillId="13" borderId="0" xfId="0" applyFont="1" applyFill="1" applyAlignment="1" applyProtection="1">
      <alignment vertical="center" wrapText="1"/>
      <protection hidden="1"/>
    </xf>
    <xf numFmtId="0" fontId="35" fillId="13" borderId="0" xfId="0" applyFont="1" applyFill="1" applyAlignment="1" applyProtection="1">
      <alignment horizontal="center" vertical="center"/>
      <protection hidden="1"/>
    </xf>
    <xf numFmtId="0" fontId="35" fillId="0" borderId="14" xfId="0" applyFont="1" applyBorder="1" applyAlignment="1" applyProtection="1">
      <alignment horizontal="center" vertical="center"/>
      <protection hidden="1"/>
    </xf>
    <xf numFmtId="0" fontId="47" fillId="13" borderId="0" xfId="0" applyFont="1" applyFill="1" applyAlignment="1" applyProtection="1">
      <alignment vertical="center" wrapText="1"/>
      <protection hidden="1"/>
    </xf>
    <xf numFmtId="0" fontId="47" fillId="0" borderId="4" xfId="0" applyFont="1" applyBorder="1" applyAlignment="1" applyProtection="1">
      <alignment horizontal="center" vertical="center"/>
      <protection hidden="1"/>
    </xf>
    <xf numFmtId="0" fontId="47" fillId="0" borderId="0" xfId="0" applyFont="1" applyAlignment="1" applyProtection="1">
      <alignment horizontal="center" vertical="center"/>
      <protection hidden="1"/>
    </xf>
    <xf numFmtId="0" fontId="9" fillId="0" borderId="0" xfId="0" applyFont="1" applyAlignment="1" applyProtection="1">
      <alignment horizontal="justify" vertical="center" wrapText="1"/>
      <protection hidden="1"/>
    </xf>
    <xf numFmtId="10" fontId="47" fillId="0" borderId="0" xfId="0" applyNumberFormat="1" applyFont="1" applyAlignment="1" applyProtection="1">
      <alignment vertical="center"/>
      <protection hidden="1"/>
    </xf>
    <xf numFmtId="10" fontId="47" fillId="13" borderId="0" xfId="0" applyNumberFormat="1" applyFont="1" applyFill="1" applyAlignment="1" applyProtection="1">
      <alignment vertical="center"/>
      <protection hidden="1"/>
    </xf>
    <xf numFmtId="0" fontId="19" fillId="13" borderId="0" xfId="0" applyFont="1" applyFill="1" applyAlignment="1" applyProtection="1">
      <alignment vertical="center"/>
      <protection hidden="1"/>
    </xf>
    <xf numFmtId="0" fontId="76" fillId="13" borderId="0" xfId="0" applyFont="1" applyFill="1" applyAlignment="1" applyProtection="1">
      <alignment horizontal="center" vertical="center"/>
      <protection hidden="1"/>
    </xf>
    <xf numFmtId="0" fontId="76" fillId="13" borderId="4" xfId="0" applyFont="1" applyFill="1" applyBorder="1" applyAlignment="1" applyProtection="1">
      <alignment horizontal="center" vertical="center" wrapText="1"/>
      <protection hidden="1"/>
    </xf>
    <xf numFmtId="0" fontId="35" fillId="20" borderId="4" xfId="0" applyFont="1" applyFill="1" applyBorder="1" applyAlignment="1" applyProtection="1">
      <alignment horizontal="center" vertical="center"/>
      <protection hidden="1"/>
    </xf>
    <xf numFmtId="0" fontId="35" fillId="30" borderId="4" xfId="0" applyFont="1" applyFill="1" applyBorder="1" applyAlignment="1" applyProtection="1">
      <alignment horizontal="center" vertical="center"/>
      <protection hidden="1"/>
    </xf>
    <xf numFmtId="0" fontId="35" fillId="16" borderId="4" xfId="0" applyFont="1" applyFill="1" applyBorder="1" applyAlignment="1" applyProtection="1">
      <alignment horizontal="center" vertical="center"/>
      <protection hidden="1"/>
    </xf>
    <xf numFmtId="0" fontId="47" fillId="0" borderId="0" xfId="0" applyFont="1" applyAlignment="1" applyProtection="1">
      <alignment horizontal="justify" vertical="center"/>
      <protection hidden="1"/>
    </xf>
    <xf numFmtId="175" fontId="47" fillId="0" borderId="0" xfId="0" applyNumberFormat="1" applyFont="1" applyAlignment="1">
      <alignment horizontal="center" vertical="center"/>
    </xf>
    <xf numFmtId="0" fontId="35" fillId="11" borderId="4" xfId="0" applyFont="1" applyFill="1" applyBorder="1" applyAlignment="1" applyProtection="1">
      <alignment horizontal="center" vertical="center"/>
      <protection hidden="1"/>
    </xf>
    <xf numFmtId="0" fontId="74" fillId="11" borderId="4" xfId="0" applyFont="1" applyFill="1" applyBorder="1" applyAlignment="1" applyProtection="1">
      <alignment horizontal="center" vertical="center"/>
      <protection hidden="1"/>
    </xf>
    <xf numFmtId="0" fontId="35" fillId="11" borderId="4" xfId="0" applyFont="1" applyFill="1" applyBorder="1" applyAlignment="1" applyProtection="1">
      <alignment horizontal="center" vertical="center" wrapText="1"/>
      <protection hidden="1"/>
    </xf>
    <xf numFmtId="0" fontId="76" fillId="36" borderId="4" xfId="0" applyFont="1" applyFill="1" applyBorder="1" applyAlignment="1" applyProtection="1">
      <alignment horizontal="center" vertical="center"/>
      <protection hidden="1"/>
    </xf>
    <xf numFmtId="10" fontId="74" fillId="36" borderId="4" xfId="2" applyNumberFormat="1" applyFont="1" applyFill="1" applyBorder="1" applyAlignment="1" applyProtection="1">
      <alignment horizontal="center" vertical="center"/>
      <protection hidden="1"/>
    </xf>
    <xf numFmtId="0" fontId="35" fillId="29" borderId="4" xfId="0" applyFont="1" applyFill="1" applyBorder="1" applyAlignment="1" applyProtection="1">
      <alignment horizontal="justify" vertical="center"/>
      <protection hidden="1"/>
    </xf>
    <xf numFmtId="0" fontId="35" fillId="13" borderId="4" xfId="0" applyFont="1" applyFill="1" applyBorder="1" applyAlignment="1" applyProtection="1">
      <alignment horizontal="center" vertical="center"/>
      <protection hidden="1"/>
    </xf>
    <xf numFmtId="10" fontId="35" fillId="0" borderId="4" xfId="0" applyNumberFormat="1" applyFont="1" applyBorder="1" applyAlignment="1" applyProtection="1">
      <alignment horizontal="center" vertical="center" wrapText="1"/>
      <protection hidden="1"/>
    </xf>
    <xf numFmtId="0" fontId="35" fillId="0" borderId="4" xfId="0" applyFont="1" applyBorder="1" applyAlignment="1" applyProtection="1">
      <alignment horizontal="center" vertical="center" wrapText="1"/>
      <protection hidden="1"/>
    </xf>
    <xf numFmtId="9" fontId="35" fillId="0" borderId="4" xfId="0" applyNumberFormat="1" applyFont="1" applyBorder="1" applyAlignment="1" applyProtection="1">
      <alignment horizontal="justify" vertical="center"/>
      <protection hidden="1"/>
    </xf>
    <xf numFmtId="44" fontId="47" fillId="0" borderId="4" xfId="26" applyNumberFormat="1" applyFont="1" applyBorder="1" applyAlignment="1" applyProtection="1">
      <alignment vertical="center"/>
      <protection locked="0"/>
    </xf>
    <xf numFmtId="175" fontId="47" fillId="0" borderId="4" xfId="0" applyNumberFormat="1" applyFont="1" applyBorder="1" applyAlignment="1" applyProtection="1">
      <alignment horizontal="center" vertical="center"/>
      <protection locked="0"/>
    </xf>
    <xf numFmtId="180" fontId="35" fillId="0" borderId="4" xfId="26" applyNumberFormat="1" applyFont="1" applyFill="1" applyBorder="1" applyAlignment="1" applyProtection="1">
      <alignment horizontal="center" vertical="center"/>
      <protection hidden="1"/>
    </xf>
    <xf numFmtId="10" fontId="47" fillId="0" borderId="4" xfId="0" applyNumberFormat="1" applyFont="1" applyBorder="1" applyAlignment="1" applyProtection="1">
      <alignment horizontal="center" vertical="center"/>
      <protection hidden="1"/>
    </xf>
    <xf numFmtId="175" fontId="47" fillId="0" borderId="4" xfId="0" applyNumberFormat="1" applyFont="1" applyBorder="1" applyAlignment="1" applyProtection="1">
      <alignment horizontal="center" vertical="center"/>
      <protection hidden="1"/>
    </xf>
    <xf numFmtId="9" fontId="47" fillId="0" borderId="4" xfId="0" applyNumberFormat="1" applyFont="1" applyBorder="1" applyAlignment="1" applyProtection="1">
      <alignment horizontal="center" vertical="center"/>
      <protection hidden="1"/>
    </xf>
    <xf numFmtId="0" fontId="35" fillId="0" borderId="4" xfId="0" applyFont="1" applyBorder="1" applyAlignment="1" applyProtection="1">
      <alignment horizontal="center" vertical="center"/>
      <protection locked="0" hidden="1"/>
    </xf>
    <xf numFmtId="180" fontId="35" fillId="0" borderId="4" xfId="26" applyNumberFormat="1" applyFont="1" applyFill="1" applyBorder="1" applyAlignment="1" applyProtection="1">
      <alignment vertical="center"/>
      <protection hidden="1"/>
    </xf>
    <xf numFmtId="180" fontId="47" fillId="0" borderId="4" xfId="0" applyNumberFormat="1" applyFont="1" applyBorder="1" applyAlignment="1" applyProtection="1">
      <alignment vertical="center"/>
      <protection hidden="1"/>
    </xf>
    <xf numFmtId="180" fontId="47" fillId="0" borderId="4" xfId="0" applyNumberFormat="1" applyFont="1" applyBorder="1" applyAlignment="1" applyProtection="1">
      <alignment horizontal="center" vertical="center"/>
      <protection hidden="1"/>
    </xf>
    <xf numFmtId="0" fontId="0" fillId="0" borderId="0" xfId="0" applyAlignment="1" applyProtection="1">
      <alignment vertical="center"/>
      <protection hidden="1"/>
    </xf>
    <xf numFmtId="0" fontId="77" fillId="13" borderId="0" xfId="0" applyFont="1" applyFill="1" applyAlignment="1" applyProtection="1">
      <alignment vertical="center"/>
      <protection hidden="1"/>
    </xf>
    <xf numFmtId="0" fontId="0" fillId="0" borderId="0" xfId="0" applyProtection="1">
      <protection locked="0"/>
    </xf>
    <xf numFmtId="0" fontId="0" fillId="0" borderId="0" xfId="0" applyAlignment="1" applyProtection="1">
      <alignment horizontal="center" vertical="center"/>
      <protection hidden="1"/>
    </xf>
    <xf numFmtId="0" fontId="0" fillId="0" borderId="0" xfId="0" applyAlignment="1" applyProtection="1">
      <alignment horizontal="right"/>
      <protection hidden="1"/>
    </xf>
    <xf numFmtId="0" fontId="78" fillId="13" borderId="0" xfId="0" applyFont="1" applyFill="1" applyAlignment="1" applyProtection="1">
      <alignment vertical="center"/>
      <protection hidden="1"/>
    </xf>
    <xf numFmtId="0" fontId="79" fillId="45" borderId="4" xfId="0" applyFont="1" applyFill="1" applyBorder="1" applyAlignment="1">
      <alignment horizontal="center" vertical="center"/>
    </xf>
    <xf numFmtId="0" fontId="0" fillId="0" borderId="0" xfId="0" applyAlignment="1" applyProtection="1">
      <alignment horizontal="center"/>
      <protection locked="0"/>
    </xf>
    <xf numFmtId="0" fontId="0" fillId="0" borderId="0" xfId="0" applyAlignment="1" applyProtection="1">
      <alignment horizontal="right"/>
      <protection locked="0"/>
    </xf>
    <xf numFmtId="0" fontId="78" fillId="13" borderId="0" xfId="0" applyFont="1" applyFill="1" applyAlignment="1" applyProtection="1">
      <alignment horizontal="center" vertical="center"/>
      <protection hidden="1"/>
    </xf>
    <xf numFmtId="0" fontId="79" fillId="20" borderId="4" xfId="0" applyFont="1" applyFill="1" applyBorder="1" applyAlignment="1">
      <alignment horizontal="center" vertical="center"/>
    </xf>
    <xf numFmtId="9" fontId="78" fillId="13" borderId="0" xfId="2" applyFont="1" applyFill="1" applyAlignment="1" applyProtection="1">
      <alignment horizontal="center" vertical="center"/>
      <protection hidden="1"/>
    </xf>
    <xf numFmtId="178" fontId="0" fillId="13" borderId="0" xfId="0" applyNumberFormat="1" applyFill="1" applyAlignment="1" applyProtection="1">
      <alignment horizontal="left" vertical="center"/>
      <protection hidden="1"/>
    </xf>
    <xf numFmtId="2" fontId="0" fillId="0" borderId="0" xfId="0" applyNumberFormat="1" applyAlignment="1" applyProtection="1">
      <alignment horizontal="center" vertical="center"/>
      <protection hidden="1"/>
    </xf>
    <xf numFmtId="178" fontId="77" fillId="13" borderId="0" xfId="0" applyNumberFormat="1" applyFont="1" applyFill="1" applyAlignment="1" applyProtection="1">
      <alignment vertical="center"/>
      <protection hidden="1"/>
    </xf>
    <xf numFmtId="10" fontId="72" fillId="13" borderId="0" xfId="0" applyNumberFormat="1" applyFont="1" applyFill="1" applyAlignment="1" applyProtection="1">
      <alignment vertical="center"/>
      <protection hidden="1"/>
    </xf>
    <xf numFmtId="0" fontId="72" fillId="13" borderId="0" xfId="0" applyFont="1" applyFill="1" applyAlignment="1" applyProtection="1">
      <alignment vertical="center"/>
      <protection hidden="1"/>
    </xf>
    <xf numFmtId="0" fontId="0" fillId="0" borderId="0" xfId="0" applyAlignment="1" applyProtection="1">
      <alignment horizontal="left" vertical="center"/>
      <protection hidden="1"/>
    </xf>
    <xf numFmtId="2" fontId="80" fillId="13" borderId="0" xfId="0" applyNumberFormat="1" applyFont="1" applyFill="1" applyAlignment="1" applyProtection="1">
      <alignment vertical="center" wrapText="1"/>
      <protection hidden="1"/>
    </xf>
    <xf numFmtId="0" fontId="81" fillId="13" borderId="0" xfId="0" applyFont="1" applyFill="1" applyAlignment="1" applyProtection="1">
      <alignment vertical="center" wrapText="1"/>
      <protection hidden="1"/>
    </xf>
    <xf numFmtId="0" fontId="82" fillId="21" borderId="4" xfId="0" applyFont="1" applyFill="1" applyBorder="1" applyAlignment="1">
      <alignment horizontal="center" vertical="center"/>
    </xf>
    <xf numFmtId="0" fontId="59" fillId="0" borderId="0" xfId="0" applyFont="1" applyAlignment="1" applyProtection="1">
      <alignment vertical="center"/>
      <protection hidden="1"/>
    </xf>
    <xf numFmtId="0" fontId="0" fillId="0" borderId="0" xfId="0" applyAlignment="1">
      <alignment vertical="center"/>
    </xf>
    <xf numFmtId="0" fontId="83" fillId="0" borderId="0" xfId="0" applyFont="1" applyAlignment="1">
      <alignment horizontal="center" vertical="center"/>
    </xf>
    <xf numFmtId="0" fontId="77" fillId="0" borderId="0" xfId="0" applyFont="1" applyAlignment="1" applyProtection="1">
      <alignment vertical="center"/>
      <protection hidden="1"/>
    </xf>
    <xf numFmtId="0" fontId="85" fillId="0" borderId="0" xfId="0" applyFont="1" applyAlignment="1" applyProtection="1">
      <alignment horizontal="justify"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justify" vertical="center" wrapText="1"/>
      <protection hidden="1"/>
    </xf>
    <xf numFmtId="0" fontId="77" fillId="0" borderId="0" xfId="0" applyFont="1" applyAlignment="1" applyProtection="1">
      <alignment horizontal="center" vertical="center" wrapText="1"/>
      <protection hidden="1"/>
    </xf>
    <xf numFmtId="0" fontId="0" fillId="0" borderId="0" xfId="0" applyAlignment="1" applyProtection="1">
      <alignment horizontal="right" vertical="top"/>
      <protection hidden="1"/>
    </xf>
    <xf numFmtId="10" fontId="0" fillId="0" borderId="0" xfId="0" applyNumberFormat="1" applyAlignment="1" applyProtection="1">
      <alignment horizontal="center" vertical="top"/>
      <protection hidden="1"/>
    </xf>
    <xf numFmtId="9" fontId="0" fillId="0" borderId="0" xfId="0" applyNumberFormat="1" applyAlignment="1" applyProtection="1">
      <alignment horizontal="right" vertical="top"/>
      <protection hidden="1"/>
    </xf>
    <xf numFmtId="10" fontId="0" fillId="0" borderId="0" xfId="19" applyNumberFormat="1" applyFont="1" applyAlignment="1" applyProtection="1">
      <alignment horizontal="center" vertical="top"/>
      <protection hidden="1"/>
    </xf>
    <xf numFmtId="175" fontId="0" fillId="0" borderId="0" xfId="0" applyNumberFormat="1" applyAlignment="1" applyProtection="1">
      <alignment horizontal="center" vertical="top"/>
      <protection hidden="1"/>
    </xf>
    <xf numFmtId="10" fontId="0" fillId="0" borderId="0" xfId="19" applyNumberFormat="1" applyFont="1" applyAlignment="1" applyProtection="1">
      <alignment horizontal="right" vertical="top"/>
      <protection hidden="1"/>
    </xf>
    <xf numFmtId="10" fontId="91" fillId="0" borderId="4" xfId="2" applyNumberFormat="1" applyFont="1" applyFill="1" applyBorder="1" applyAlignment="1" applyProtection="1">
      <alignment horizontal="center" vertical="center"/>
      <protection locked="0"/>
    </xf>
    <xf numFmtId="0" fontId="0" fillId="0" borderId="0" xfId="0" applyProtection="1">
      <protection hidden="1"/>
    </xf>
    <xf numFmtId="0" fontId="92" fillId="0" borderId="0" xfId="0" applyFont="1" applyAlignment="1" applyProtection="1">
      <alignment vertical="top" wrapText="1"/>
      <protection locked="0"/>
    </xf>
    <xf numFmtId="0" fontId="59" fillId="0" borderId="4" xfId="0" applyFont="1" applyBorder="1" applyAlignment="1">
      <alignment horizontal="center" vertical="center" wrapText="1"/>
    </xf>
    <xf numFmtId="10" fontId="18" fillId="13" borderId="0" xfId="0" applyNumberFormat="1" applyFont="1" applyFill="1" applyAlignment="1" applyProtection="1">
      <alignment horizontal="center" vertical="top"/>
      <protection hidden="1"/>
    </xf>
    <xf numFmtId="167" fontId="94" fillId="0" borderId="0" xfId="0" applyNumberFormat="1" applyFont="1" applyAlignment="1">
      <alignment horizontal="justify" vertical="center"/>
    </xf>
    <xf numFmtId="10" fontId="58" fillId="13" borderId="0" xfId="0" applyNumberFormat="1" applyFont="1" applyFill="1" applyAlignment="1" applyProtection="1">
      <alignment horizontal="center" vertical="center"/>
      <protection hidden="1"/>
    </xf>
    <xf numFmtId="0" fontId="0" fillId="0" borderId="45" xfId="0" applyBorder="1" applyAlignment="1">
      <alignment vertical="center"/>
    </xf>
    <xf numFmtId="167" fontId="0" fillId="0" borderId="0" xfId="0" applyNumberFormat="1" applyAlignment="1">
      <alignment vertical="center"/>
    </xf>
    <xf numFmtId="10" fontId="18" fillId="0" borderId="0" xfId="0" applyNumberFormat="1" applyFont="1" applyAlignment="1" applyProtection="1">
      <alignment horizontal="center" vertical="top"/>
      <protection hidden="1"/>
    </xf>
    <xf numFmtId="10" fontId="58" fillId="0" borderId="0" xfId="0" applyNumberFormat="1" applyFont="1" applyAlignment="1" applyProtection="1">
      <alignment horizontal="center" vertical="center"/>
      <protection hidden="1"/>
    </xf>
    <xf numFmtId="0" fontId="0" fillId="0" borderId="0" xfId="0" applyAlignment="1">
      <alignment horizontal="right" vertical="top"/>
    </xf>
    <xf numFmtId="10" fontId="0" fillId="0" borderId="0" xfId="0" applyNumberFormat="1" applyAlignment="1">
      <alignment horizontal="center" vertical="top"/>
    </xf>
    <xf numFmtId="9" fontId="0" fillId="0" borderId="0" xfId="0" applyNumberFormat="1" applyAlignment="1">
      <alignment horizontal="right" vertical="top"/>
    </xf>
    <xf numFmtId="10" fontId="0" fillId="0" borderId="0" xfId="19" applyNumberFormat="1" applyFont="1" applyAlignment="1" applyProtection="1">
      <alignment horizontal="center" vertical="top"/>
    </xf>
    <xf numFmtId="175" fontId="0" fillId="0" borderId="0" xfId="0" applyNumberFormat="1" applyAlignment="1">
      <alignment horizontal="center" vertical="top"/>
    </xf>
    <xf numFmtId="10" fontId="0" fillId="0" borderId="0" xfId="19" applyNumberFormat="1" applyFont="1" applyAlignment="1" applyProtection="1">
      <alignment horizontal="right" vertical="top"/>
    </xf>
    <xf numFmtId="0" fontId="0" fillId="0" borderId="4" xfId="0" applyBorder="1" applyAlignment="1" applyProtection="1">
      <alignment vertical="center"/>
      <protection locked="0"/>
    </xf>
    <xf numFmtId="9" fontId="0" fillId="0" borderId="4" xfId="0" applyNumberFormat="1" applyBorder="1" applyAlignment="1" applyProtection="1">
      <alignment horizontal="center" vertical="center"/>
      <protection locked="0"/>
    </xf>
    <xf numFmtId="0" fontId="59" fillId="25" borderId="4" xfId="0" applyFont="1" applyFill="1" applyBorder="1" applyAlignment="1">
      <alignment horizontal="center" vertical="center"/>
    </xf>
    <xf numFmtId="41" fontId="0" fillId="0" borderId="4" xfId="19" applyFont="1" applyBorder="1" applyAlignment="1" applyProtection="1"/>
    <xf numFmtId="41" fontId="0" fillId="0" borderId="4" xfId="19" applyFont="1" applyFill="1" applyBorder="1" applyAlignment="1" applyProtection="1"/>
    <xf numFmtId="41" fontId="0" fillId="0" borderId="4" xfId="19" applyFont="1" applyBorder="1" applyAlignment="1" applyProtection="1">
      <protection locked="0"/>
    </xf>
    <xf numFmtId="9" fontId="0" fillId="0" borderId="0" xfId="2" applyFont="1" applyFill="1" applyBorder="1" applyAlignment="1" applyProtection="1">
      <alignment horizontal="center"/>
      <protection locked="0"/>
    </xf>
    <xf numFmtId="0" fontId="93" fillId="0" borderId="0" xfId="0" applyFont="1" applyProtection="1">
      <protection hidden="1"/>
    </xf>
    <xf numFmtId="0" fontId="59" fillId="25" borderId="4" xfId="0" applyFont="1" applyFill="1" applyBorder="1" applyAlignment="1" applyProtection="1">
      <alignment horizontal="center" vertical="center"/>
      <protection hidden="1"/>
    </xf>
    <xf numFmtId="0" fontId="59" fillId="25" borderId="9" xfId="0" applyFont="1" applyFill="1" applyBorder="1" applyAlignment="1" applyProtection="1">
      <alignment horizontal="center" vertical="center" wrapText="1"/>
      <protection hidden="1"/>
    </xf>
    <xf numFmtId="182" fontId="0" fillId="0" borderId="9" xfId="17" applyNumberFormat="1" applyFont="1" applyBorder="1" applyProtection="1"/>
    <xf numFmtId="0" fontId="0" fillId="0" borderId="4" xfId="0" applyBorder="1" applyAlignment="1" applyProtection="1">
      <alignment horizontal="center" vertical="center"/>
      <protection locked="0"/>
    </xf>
    <xf numFmtId="0" fontId="59" fillId="0" borderId="0" xfId="0" applyFont="1" applyAlignment="1" applyProtection="1">
      <alignment horizontal="center"/>
      <protection hidden="1"/>
    </xf>
    <xf numFmtId="0" fontId="98" fillId="0" borderId="0" xfId="0" applyFont="1" applyProtection="1">
      <protection hidden="1"/>
    </xf>
    <xf numFmtId="0" fontId="0" fillId="30" borderId="0" xfId="0" applyFill="1"/>
    <xf numFmtId="0" fontId="88" fillId="0" borderId="4" xfId="0" applyFont="1" applyBorder="1" applyAlignment="1" applyProtection="1">
      <alignment vertical="center"/>
      <protection hidden="1"/>
    </xf>
    <xf numFmtId="0" fontId="14" fillId="53" borderId="0" xfId="5" applyFont="1" applyFill="1" applyAlignment="1" applyProtection="1">
      <alignment vertical="center" wrapText="1"/>
      <protection locked="0"/>
    </xf>
    <xf numFmtId="0" fontId="47" fillId="0" borderId="4" xfId="0" applyFont="1" applyBorder="1" applyAlignment="1" applyProtection="1">
      <alignment vertical="center" wrapText="1"/>
      <protection hidden="1"/>
    </xf>
    <xf numFmtId="0" fontId="109" fillId="53" borderId="0" xfId="5" applyFont="1" applyFill="1" applyAlignment="1" applyProtection="1">
      <alignment vertical="center" wrapText="1"/>
      <protection locked="0"/>
    </xf>
    <xf numFmtId="0" fontId="47" fillId="0" borderId="4" xfId="0" applyFont="1" applyBorder="1" applyAlignment="1" applyProtection="1">
      <alignment horizontal="left" vertical="center" wrapText="1"/>
      <protection hidden="1"/>
    </xf>
    <xf numFmtId="0" fontId="110" fillId="0" borderId="0" xfId="0" applyFont="1" applyAlignment="1" applyProtection="1">
      <alignment wrapText="1"/>
      <protection hidden="1"/>
    </xf>
    <xf numFmtId="0" fontId="14" fillId="13" borderId="0" xfId="5" applyFont="1" applyFill="1" applyAlignment="1" applyProtection="1">
      <alignment vertical="center" wrapText="1"/>
      <protection locked="0"/>
    </xf>
    <xf numFmtId="0" fontId="10" fillId="53" borderId="4" xfId="5" applyFont="1" applyFill="1" applyBorder="1" applyAlignment="1">
      <alignment vertical="center" wrapText="1"/>
    </xf>
    <xf numFmtId="3" fontId="10" fillId="13" borderId="4" xfId="5" applyNumberFormat="1" applyFont="1" applyFill="1" applyBorder="1" applyAlignment="1">
      <alignment vertical="center" wrapText="1"/>
    </xf>
    <xf numFmtId="2" fontId="28" fillId="53" borderId="0" xfId="5" applyNumberFormat="1" applyFont="1" applyFill="1" applyAlignment="1">
      <alignment horizontal="center" vertical="center" wrapText="1"/>
    </xf>
    <xf numFmtId="0" fontId="109" fillId="53" borderId="0" xfId="5" applyFont="1" applyFill="1" applyAlignment="1">
      <alignment vertical="center" wrapText="1"/>
    </xf>
    <xf numFmtId="0" fontId="10" fillId="53" borderId="20" xfId="5" applyFont="1" applyFill="1" applyBorder="1" applyAlignment="1">
      <alignment vertical="center" wrapText="1"/>
    </xf>
    <xf numFmtId="0" fontId="10" fillId="53" borderId="0" xfId="5" applyFont="1" applyFill="1" applyAlignment="1">
      <alignment vertical="center" wrapText="1"/>
    </xf>
    <xf numFmtId="3" fontId="10" fillId="13" borderId="0" xfId="5" applyNumberFormat="1" applyFont="1" applyFill="1" applyAlignment="1">
      <alignment vertical="center" wrapText="1"/>
    </xf>
    <xf numFmtId="0" fontId="20" fillId="13" borderId="0" xfId="5" applyFont="1" applyFill="1" applyAlignment="1" applyProtection="1">
      <alignment vertical="center" wrapText="1"/>
      <protection locked="0"/>
    </xf>
    <xf numFmtId="0" fontId="20" fillId="53" borderId="0" xfId="5" applyFont="1" applyFill="1" applyAlignment="1" applyProtection="1">
      <alignment vertical="center" wrapText="1"/>
      <protection locked="0"/>
    </xf>
    <xf numFmtId="2" fontId="10" fillId="13" borderId="0" xfId="5" applyNumberFormat="1" applyFont="1" applyFill="1" applyAlignment="1">
      <alignment horizontal="center" vertical="center" wrapText="1"/>
    </xf>
    <xf numFmtId="0" fontId="63" fillId="53" borderId="0" xfId="5" applyFont="1" applyFill="1" applyAlignment="1">
      <alignment vertical="center" wrapText="1"/>
    </xf>
    <xf numFmtId="0" fontId="63" fillId="53" borderId="0" xfId="5" applyFont="1" applyFill="1" applyAlignment="1">
      <alignment horizontal="justify" vertical="center" wrapText="1"/>
    </xf>
    <xf numFmtId="0" fontId="14" fillId="53" borderId="0" xfId="5" applyFont="1" applyFill="1" applyAlignment="1">
      <alignment vertical="center" wrapText="1"/>
    </xf>
    <xf numFmtId="0" fontId="11" fillId="55" borderId="0" xfId="5" applyFont="1" applyFill="1" applyAlignment="1">
      <alignment horizontal="left" vertical="center" wrapText="1"/>
    </xf>
    <xf numFmtId="0" fontId="114" fillId="55" borderId="0" xfId="5" applyFont="1" applyFill="1" applyAlignment="1">
      <alignment horizontal="center" vertical="center" wrapText="1"/>
    </xf>
    <xf numFmtId="0" fontId="114" fillId="55" borderId="26" xfId="5" applyFont="1" applyFill="1" applyBorder="1" applyAlignment="1">
      <alignment horizontal="center" vertical="center" wrapText="1"/>
    </xf>
    <xf numFmtId="0" fontId="114" fillId="55" borderId="73" xfId="5" applyFont="1" applyFill="1" applyBorder="1" applyAlignment="1">
      <alignment horizontal="center" vertical="center" wrapText="1"/>
    </xf>
    <xf numFmtId="0" fontId="114" fillId="55" borderId="52" xfId="5" applyFont="1" applyFill="1" applyBorder="1" applyAlignment="1">
      <alignment horizontal="center" vertical="center" wrapText="1"/>
    </xf>
    <xf numFmtId="0" fontId="28" fillId="55" borderId="16" xfId="5" applyFont="1" applyFill="1" applyBorder="1" applyAlignment="1">
      <alignment horizontal="center" vertical="center" wrapText="1"/>
    </xf>
    <xf numFmtId="0" fontId="28" fillId="55" borderId="14" xfId="5" applyFont="1" applyFill="1" applyBorder="1" applyAlignment="1">
      <alignment horizontal="center" vertical="center" wrapText="1"/>
    </xf>
    <xf numFmtId="0" fontId="28" fillId="55" borderId="61" xfId="5" applyFont="1" applyFill="1" applyBorder="1" applyAlignment="1">
      <alignment horizontal="center" vertical="center" wrapText="1"/>
    </xf>
    <xf numFmtId="0" fontId="28" fillId="55" borderId="31" xfId="5" applyFont="1" applyFill="1" applyBorder="1" applyAlignment="1">
      <alignment horizontal="center" vertical="center" wrapText="1"/>
    </xf>
    <xf numFmtId="0" fontId="28" fillId="55" borderId="15" xfId="5" applyFont="1" applyFill="1" applyBorder="1" applyAlignment="1">
      <alignment horizontal="center" vertical="center" wrapText="1"/>
    </xf>
    <xf numFmtId="0" fontId="27" fillId="53" borderId="16" xfId="5" applyFont="1" applyFill="1" applyBorder="1" applyAlignment="1" applyProtection="1">
      <alignment horizontal="center" vertical="center" wrapText="1"/>
      <protection locked="0"/>
    </xf>
    <xf numFmtId="0" fontId="115" fillId="53" borderId="4" xfId="5" applyFont="1" applyFill="1" applyBorder="1" applyAlignment="1" applyProtection="1">
      <alignment horizontal="justify" vertical="center" wrapText="1"/>
      <protection locked="0"/>
    </xf>
    <xf numFmtId="3" fontId="116" fillId="51" borderId="4" xfId="0" applyNumberFormat="1" applyFont="1" applyFill="1" applyBorder="1" applyAlignment="1" applyProtection="1">
      <alignment horizontal="right" vertical="center" wrapText="1"/>
      <protection locked="0"/>
    </xf>
    <xf numFmtId="3" fontId="116" fillId="13" borderId="4" xfId="0" applyNumberFormat="1" applyFont="1" applyFill="1" applyBorder="1" applyAlignment="1">
      <alignment horizontal="right" vertical="center" wrapText="1"/>
    </xf>
    <xf numFmtId="3" fontId="116" fillId="51" borderId="9" xfId="0" applyNumberFormat="1" applyFont="1" applyFill="1" applyBorder="1" applyAlignment="1" applyProtection="1">
      <alignment horizontal="right" vertical="center" wrapText="1"/>
      <protection locked="0"/>
    </xf>
    <xf numFmtId="3" fontId="116" fillId="51" borderId="9" xfId="0" applyNumberFormat="1" applyFont="1" applyFill="1" applyBorder="1" applyAlignment="1">
      <alignment horizontal="right" vertical="center" wrapText="1"/>
    </xf>
    <xf numFmtId="3" fontId="116" fillId="51" borderId="9" xfId="0" applyNumberFormat="1" applyFont="1" applyFill="1" applyBorder="1" applyAlignment="1" applyProtection="1">
      <alignment horizontal="center" vertical="center" wrapText="1"/>
      <protection locked="0"/>
    </xf>
    <xf numFmtId="0" fontId="14" fillId="53" borderId="17" xfId="5" applyFont="1" applyFill="1" applyBorder="1" applyAlignment="1" applyProtection="1">
      <alignment horizontal="center" vertical="center" wrapText="1"/>
      <protection locked="0"/>
    </xf>
    <xf numFmtId="0" fontId="50" fillId="53" borderId="4" xfId="5" applyFont="1" applyFill="1" applyBorder="1" applyAlignment="1" applyProtection="1">
      <alignment horizontal="justify" vertical="center" wrapText="1"/>
      <protection locked="0"/>
    </xf>
    <xf numFmtId="3" fontId="116" fillId="29" borderId="4" xfId="0" applyNumberFormat="1" applyFont="1" applyFill="1" applyBorder="1" applyAlignment="1" applyProtection="1">
      <alignment horizontal="right" vertical="center" wrapText="1"/>
      <protection locked="0"/>
    </xf>
    <xf numFmtId="0" fontId="27" fillId="53" borderId="102" xfId="5" applyFont="1" applyFill="1" applyBorder="1" applyAlignment="1">
      <alignment vertical="center" wrapText="1"/>
    </xf>
    <xf numFmtId="0" fontId="109" fillId="56" borderId="4" xfId="5" applyFont="1" applyFill="1" applyBorder="1" applyAlignment="1">
      <alignment horizontal="center" vertical="center" wrapText="1"/>
    </xf>
    <xf numFmtId="3" fontId="109" fillId="56" borderId="4" xfId="5" applyNumberFormat="1" applyFont="1" applyFill="1" applyBorder="1" applyAlignment="1">
      <alignment horizontal="right" vertical="center" wrapText="1"/>
    </xf>
    <xf numFmtId="3" fontId="109" fillId="56" borderId="64" xfId="5" applyNumberFormat="1" applyFont="1" applyFill="1" applyBorder="1" applyAlignment="1">
      <alignment horizontal="right" vertical="center" wrapText="1"/>
    </xf>
    <xf numFmtId="3" fontId="109" fillId="56" borderId="94" xfId="5" applyNumberFormat="1" applyFont="1" applyFill="1" applyBorder="1" applyAlignment="1">
      <alignment horizontal="right" vertical="center" wrapText="1"/>
    </xf>
    <xf numFmtId="0" fontId="117" fillId="56" borderId="81" xfId="16" applyFont="1" applyFill="1" applyBorder="1" applyAlignment="1" applyProtection="1">
      <alignment horizontal="center" vertical="center" wrapText="1"/>
    </xf>
    <xf numFmtId="0" fontId="117" fillId="56" borderId="82" xfId="16" applyFont="1" applyFill="1" applyBorder="1" applyAlignment="1" applyProtection="1">
      <alignment vertical="center" wrapText="1"/>
    </xf>
    <xf numFmtId="2" fontId="118" fillId="56" borderId="4" xfId="16" applyNumberFormat="1" applyFont="1" applyFill="1" applyBorder="1" applyAlignment="1" applyProtection="1">
      <alignment horizontal="center" vertical="center" wrapText="1"/>
    </xf>
    <xf numFmtId="0" fontId="116" fillId="53" borderId="46" xfId="5" applyFont="1" applyFill="1" applyBorder="1" applyAlignment="1">
      <alignment vertical="center" wrapText="1"/>
    </xf>
    <xf numFmtId="10" fontId="109" fillId="56" borderId="67" xfId="7" applyNumberFormat="1" applyFont="1" applyFill="1" applyBorder="1" applyAlignment="1">
      <alignment horizontal="center" vertical="center" wrapText="1"/>
    </xf>
    <xf numFmtId="10" fontId="109" fillId="56" borderId="114" xfId="7" applyNumberFormat="1" applyFont="1" applyFill="1" applyBorder="1" applyAlignment="1">
      <alignment horizontal="center" vertical="center" wrapText="1"/>
    </xf>
    <xf numFmtId="10" fontId="109" fillId="56" borderId="9" xfId="7" applyNumberFormat="1" applyFont="1" applyFill="1" applyBorder="1" applyAlignment="1">
      <alignment horizontal="center" vertical="center" wrapText="1"/>
    </xf>
    <xf numFmtId="10" fontId="109" fillId="56" borderId="4" xfId="7" applyNumberFormat="1" applyFont="1" applyFill="1" applyBorder="1" applyAlignment="1">
      <alignment horizontal="center" vertical="center" wrapText="1"/>
    </xf>
    <xf numFmtId="0" fontId="116" fillId="53" borderId="35" xfId="5" applyFont="1" applyFill="1" applyBorder="1" applyAlignment="1">
      <alignment vertical="center" wrapText="1"/>
    </xf>
    <xf numFmtId="3" fontId="114" fillId="53" borderId="35" xfId="5" applyNumberFormat="1" applyFont="1" applyFill="1" applyBorder="1" applyAlignment="1">
      <alignment vertical="center" wrapText="1"/>
    </xf>
    <xf numFmtId="0" fontId="109" fillId="53" borderId="77" xfId="5" applyFont="1" applyFill="1" applyBorder="1" applyAlignment="1">
      <alignment vertical="center" wrapText="1"/>
    </xf>
    <xf numFmtId="0" fontId="116" fillId="53" borderId="26" xfId="5" applyFont="1" applyFill="1" applyBorder="1" applyAlignment="1">
      <alignment vertical="center" wrapText="1"/>
    </xf>
    <xf numFmtId="0" fontId="116" fillId="53" borderId="0" xfId="5" applyFont="1" applyFill="1" applyAlignment="1">
      <alignment vertical="center" wrapText="1"/>
    </xf>
    <xf numFmtId="0" fontId="14" fillId="53" borderId="26" xfId="5" applyFont="1" applyFill="1" applyBorder="1" applyAlignment="1" applyProtection="1">
      <alignment vertical="center" wrapText="1"/>
      <protection locked="0"/>
    </xf>
    <xf numFmtId="0" fontId="28" fillId="55" borderId="4" xfId="5" applyFont="1" applyFill="1" applyBorder="1" applyAlignment="1">
      <alignment horizontal="center" vertical="center" wrapText="1"/>
    </xf>
    <xf numFmtId="0" fontId="28" fillId="55" borderId="17" xfId="5" applyFont="1" applyFill="1" applyBorder="1" applyAlignment="1">
      <alignment horizontal="center" vertical="center" wrapText="1"/>
    </xf>
    <xf numFmtId="3" fontId="116" fillId="13" borderId="4" xfId="0" applyNumberFormat="1" applyFont="1" applyFill="1" applyBorder="1" applyAlignment="1" applyProtection="1">
      <alignment horizontal="right" vertical="center" wrapText="1"/>
      <protection locked="0"/>
    </xf>
    <xf numFmtId="3" fontId="116" fillId="51" borderId="4" xfId="0" applyNumberFormat="1" applyFont="1" applyFill="1" applyBorder="1" applyAlignment="1">
      <alignment horizontal="right" vertical="center" wrapText="1"/>
    </xf>
    <xf numFmtId="0" fontId="116" fillId="53" borderId="4" xfId="5" applyFont="1" applyFill="1" applyBorder="1" applyAlignment="1" applyProtection="1">
      <alignment horizontal="justify" vertical="center" wrapText="1"/>
      <protection locked="0"/>
    </xf>
    <xf numFmtId="3" fontId="27" fillId="51" borderId="4" xfId="0" applyNumberFormat="1" applyFont="1" applyFill="1" applyBorder="1" applyAlignment="1" applyProtection="1">
      <alignment horizontal="right" vertical="center" wrapText="1"/>
      <protection locked="0"/>
    </xf>
    <xf numFmtId="0" fontId="27" fillId="53" borderId="16" xfId="5" applyFont="1" applyFill="1" applyBorder="1" applyAlignment="1" applyProtection="1">
      <alignment vertical="center" wrapText="1"/>
      <protection locked="0"/>
    </xf>
    <xf numFmtId="0" fontId="109" fillId="56" borderId="4" xfId="5" applyFont="1" applyFill="1" applyBorder="1" applyAlignment="1" applyProtection="1">
      <alignment horizontal="justify" vertical="center" wrapText="1"/>
      <protection locked="0"/>
    </xf>
    <xf numFmtId="3" fontId="109" fillId="56" borderId="9" xfId="5" applyNumberFormat="1" applyFont="1" applyFill="1" applyBorder="1" applyAlignment="1">
      <alignment horizontal="right" vertical="center" wrapText="1"/>
    </xf>
    <xf numFmtId="0" fontId="14" fillId="53" borderId="17" xfId="5" applyFont="1" applyFill="1" applyBorder="1" applyAlignment="1" applyProtection="1">
      <alignment vertical="center" wrapText="1"/>
      <protection locked="0"/>
    </xf>
    <xf numFmtId="0" fontId="116" fillId="53" borderId="66" xfId="5" applyFont="1" applyFill="1" applyBorder="1" applyAlignment="1">
      <alignment horizontal="right" vertical="center" wrapText="1"/>
    </xf>
    <xf numFmtId="4" fontId="118" fillId="56" borderId="4" xfId="16" applyNumberFormat="1" applyFont="1" applyFill="1" applyBorder="1" applyAlignment="1" applyProtection="1">
      <alignment horizontal="center" vertical="center" wrapText="1"/>
    </xf>
    <xf numFmtId="3" fontId="116" fillId="53" borderId="66" xfId="5" applyNumberFormat="1" applyFont="1" applyFill="1" applyBorder="1" applyAlignment="1">
      <alignment horizontal="right" vertical="center" wrapText="1"/>
    </xf>
    <xf numFmtId="10" fontId="109" fillId="56" borderId="114" xfId="5" applyNumberFormat="1" applyFont="1" applyFill="1" applyBorder="1" applyAlignment="1">
      <alignment horizontal="center" vertical="center" wrapText="1"/>
    </xf>
    <xf numFmtId="10" fontId="109" fillId="56" borderId="4" xfId="5" applyNumberFormat="1" applyFont="1" applyFill="1" applyBorder="1" applyAlignment="1">
      <alignment horizontal="center" vertical="center" wrapText="1"/>
    </xf>
    <xf numFmtId="10" fontId="109" fillId="56" borderId="94" xfId="7" applyNumberFormat="1" applyFont="1" applyFill="1" applyBorder="1" applyAlignment="1">
      <alignment horizontal="center" vertical="center" wrapText="1"/>
    </xf>
    <xf numFmtId="0" fontId="116" fillId="53" borderId="2" xfId="5" applyFont="1" applyFill="1" applyBorder="1" applyAlignment="1">
      <alignment vertical="center" wrapText="1"/>
    </xf>
    <xf numFmtId="3" fontId="116" fillId="53" borderId="2" xfId="5" applyNumberFormat="1" applyFont="1" applyFill="1" applyBorder="1" applyAlignment="1">
      <alignment vertical="center" wrapText="1"/>
    </xf>
    <xf numFmtId="10" fontId="109" fillId="56" borderId="118" xfId="7" applyNumberFormat="1" applyFont="1" applyFill="1" applyBorder="1" applyAlignment="1">
      <alignment horizontal="center" vertical="center" wrapText="1"/>
    </xf>
    <xf numFmtId="10" fontId="109" fillId="56" borderId="119" xfId="7" applyNumberFormat="1" applyFont="1" applyFill="1" applyBorder="1" applyAlignment="1">
      <alignment horizontal="center" vertical="center" wrapText="1"/>
    </xf>
    <xf numFmtId="10" fontId="109" fillId="56" borderId="120" xfId="7" applyNumberFormat="1" applyFont="1" applyFill="1" applyBorder="1" applyAlignment="1">
      <alignment horizontal="center" vertical="center" wrapText="1"/>
    </xf>
    <xf numFmtId="0" fontId="116" fillId="53" borderId="17" xfId="5" applyFont="1" applyFill="1" applyBorder="1" applyAlignment="1">
      <alignment vertical="center" wrapText="1"/>
    </xf>
    <xf numFmtId="0" fontId="120" fillId="53" borderId="0" xfId="16" applyFont="1" applyFill="1" applyAlignment="1" applyProtection="1">
      <alignment horizontal="center" vertical="center" wrapText="1"/>
    </xf>
    <xf numFmtId="3" fontId="28" fillId="56" borderId="4" xfId="5" applyNumberFormat="1" applyFont="1" applyFill="1" applyBorder="1" applyAlignment="1">
      <alignment horizontal="right" vertical="center" wrapText="1"/>
    </xf>
    <xf numFmtId="0" fontId="120" fillId="53" borderId="4" xfId="16" applyFont="1" applyFill="1" applyBorder="1" applyAlignment="1" applyProtection="1">
      <alignment horizontal="center" vertical="center" wrapText="1"/>
    </xf>
    <xf numFmtId="0" fontId="117" fillId="13" borderId="0" xfId="16" applyFont="1" applyFill="1" applyBorder="1" applyAlignment="1" applyProtection="1">
      <alignment horizontal="center" vertical="center" wrapText="1"/>
    </xf>
    <xf numFmtId="0" fontId="120" fillId="13" borderId="0" xfId="16" applyFont="1" applyFill="1" applyAlignment="1" applyProtection="1">
      <alignment horizontal="center" vertical="center" wrapText="1"/>
    </xf>
    <xf numFmtId="3" fontId="28" fillId="13" borderId="0" xfId="5" applyNumberFormat="1" applyFont="1" applyFill="1" applyAlignment="1">
      <alignment horizontal="right" vertical="center" wrapText="1"/>
    </xf>
    <xf numFmtId="3" fontId="109" fillId="13" borderId="0" xfId="5" applyNumberFormat="1" applyFont="1" applyFill="1" applyAlignment="1">
      <alignment horizontal="right" vertical="center" wrapText="1"/>
    </xf>
    <xf numFmtId="0" fontId="120" fillId="13" borderId="0" xfId="16" applyFont="1" applyFill="1" applyBorder="1" applyAlignment="1" applyProtection="1">
      <alignment horizontal="center" vertical="center" wrapText="1"/>
    </xf>
    <xf numFmtId="0" fontId="14" fillId="13" borderId="26" xfId="5" applyFont="1" applyFill="1" applyBorder="1" applyAlignment="1" applyProtection="1">
      <alignment vertical="center" wrapText="1"/>
      <protection locked="0"/>
    </xf>
    <xf numFmtId="0" fontId="121" fillId="13" borderId="0" xfId="16" applyFont="1" applyFill="1" applyBorder="1" applyAlignment="1" applyProtection="1">
      <alignment horizontal="justify" vertical="center" wrapText="1"/>
    </xf>
    <xf numFmtId="0" fontId="120" fillId="53" borderId="0" xfId="16" applyFont="1" applyFill="1" applyBorder="1" applyAlignment="1" applyProtection="1">
      <alignment horizontal="center" vertical="center" wrapText="1"/>
    </xf>
    <xf numFmtId="0" fontId="30" fillId="36" borderId="40" xfId="0" applyFont="1" applyFill="1" applyBorder="1" applyAlignment="1">
      <alignment horizontal="center" vertical="center" wrapText="1"/>
    </xf>
    <xf numFmtId="0" fontId="35" fillId="13" borderId="0" xfId="0" applyFont="1" applyFill="1" applyAlignment="1">
      <alignment horizontal="justify" vertical="center" wrapText="1"/>
    </xf>
    <xf numFmtId="0" fontId="74" fillId="13" borderId="0" xfId="0" applyFont="1" applyFill="1" applyAlignment="1" applyProtection="1">
      <alignment horizontal="center" vertical="center" wrapText="1"/>
      <protection hidden="1"/>
    </xf>
    <xf numFmtId="0" fontId="35" fillId="13" borderId="26" xfId="0" applyFont="1" applyFill="1" applyBorder="1" applyAlignment="1" applyProtection="1">
      <alignment horizontal="center" vertical="center" wrapText="1"/>
      <protection hidden="1"/>
    </xf>
    <xf numFmtId="0" fontId="30" fillId="0" borderId="19" xfId="0" applyFont="1" applyBorder="1" applyAlignment="1">
      <alignment horizontal="center" vertical="center" wrapText="1"/>
    </xf>
    <xf numFmtId="0" fontId="123" fillId="0" borderId="19" xfId="0" applyFont="1" applyBorder="1" applyAlignment="1">
      <alignment horizontal="center" vertical="center" wrapText="1"/>
    </xf>
    <xf numFmtId="0" fontId="31" fillId="0" borderId="19" xfId="0" applyFont="1" applyBorder="1" applyAlignment="1">
      <alignment horizontal="center" vertical="center" wrapText="1"/>
    </xf>
    <xf numFmtId="0" fontId="33" fillId="0" borderId="19" xfId="0" applyFont="1" applyBorder="1" applyAlignment="1">
      <alignment horizontal="center" vertical="center" wrapText="1"/>
    </xf>
    <xf numFmtId="0" fontId="125" fillId="0" borderId="19" xfId="0" applyFont="1" applyBorder="1" applyAlignment="1">
      <alignment horizontal="center" vertical="center" wrapText="1"/>
    </xf>
    <xf numFmtId="0" fontId="126" fillId="13" borderId="0" xfId="0" applyFont="1" applyFill="1" applyAlignment="1" applyProtection="1">
      <alignment horizontal="center" vertical="center" wrapText="1"/>
      <protection hidden="1"/>
    </xf>
    <xf numFmtId="10" fontId="10" fillId="13" borderId="0" xfId="2" applyNumberFormat="1" applyFont="1" applyFill="1" applyBorder="1" applyAlignment="1" applyProtection="1">
      <alignment horizontal="center" vertical="center" wrapText="1"/>
      <protection hidden="1"/>
    </xf>
    <xf numFmtId="0" fontId="20" fillId="13" borderId="0" xfId="0" applyFont="1" applyFill="1" applyAlignment="1" applyProtection="1">
      <alignment horizontal="center" vertical="center" wrapText="1"/>
      <protection hidden="1"/>
    </xf>
    <xf numFmtId="3" fontId="20" fillId="13" borderId="0" xfId="0" applyNumberFormat="1" applyFont="1" applyFill="1" applyAlignment="1" applyProtection="1">
      <alignment horizontal="center" vertical="center" wrapText="1"/>
      <protection hidden="1"/>
    </xf>
    <xf numFmtId="3" fontId="20" fillId="13" borderId="26" xfId="0" applyNumberFormat="1" applyFont="1" applyFill="1" applyBorder="1" applyAlignment="1" applyProtection="1">
      <alignment vertical="center" wrapText="1"/>
      <protection hidden="1"/>
    </xf>
    <xf numFmtId="0" fontId="124" fillId="0" borderId="19" xfId="0" applyFont="1" applyBorder="1" applyAlignment="1">
      <alignment horizontal="center" vertical="center" wrapText="1"/>
    </xf>
    <xf numFmtId="0" fontId="32" fillId="0" borderId="19" xfId="0" applyFont="1" applyBorder="1" applyAlignment="1">
      <alignment horizontal="center" vertical="center" wrapText="1"/>
    </xf>
    <xf numFmtId="0" fontId="31" fillId="0" borderId="102" xfId="0" applyFont="1" applyBorder="1" applyAlignment="1">
      <alignment horizontal="center" vertical="center" wrapText="1"/>
    </xf>
    <xf numFmtId="0" fontId="32" fillId="0" borderId="0" xfId="0" applyFont="1" applyAlignment="1">
      <alignment horizontal="center" vertical="center" wrapText="1"/>
    </xf>
    <xf numFmtId="0" fontId="124" fillId="0" borderId="0" xfId="0" applyFont="1" applyAlignment="1">
      <alignment horizontal="center" vertical="center" wrapText="1"/>
    </xf>
    <xf numFmtId="0" fontId="20" fillId="0" borderId="26" xfId="0" applyFont="1" applyBorder="1" applyAlignment="1">
      <alignment vertical="center" wrapText="1"/>
    </xf>
    <xf numFmtId="0" fontId="24" fillId="0" borderId="14" xfId="22" applyFont="1" applyFill="1" applyBorder="1" applyAlignment="1" applyProtection="1">
      <alignment horizontal="center" vertical="center" wrapText="1"/>
      <protection hidden="1"/>
    </xf>
    <xf numFmtId="2" fontId="19" fillId="44" borderId="14" xfId="18" applyNumberFormat="1" applyFont="1" applyFill="1" applyBorder="1" applyAlignment="1" applyProtection="1">
      <alignment horizontal="justify" vertical="center" wrapText="1"/>
      <protection hidden="1"/>
    </xf>
    <xf numFmtId="0" fontId="24" fillId="0" borderId="14" xfId="22" applyFont="1" applyFill="1" applyBorder="1" applyAlignment="1" applyProtection="1">
      <alignment horizontal="justify" vertical="center" wrapText="1"/>
      <protection hidden="1"/>
    </xf>
    <xf numFmtId="0" fontId="20" fillId="0" borderId="0" xfId="0" applyFont="1" applyAlignment="1" applyProtection="1">
      <alignment horizontal="justify" vertical="center" wrapText="1"/>
      <protection hidden="1"/>
    </xf>
    <xf numFmtId="2" fontId="21" fillId="20" borderId="4" xfId="18" applyNumberFormat="1" applyFont="1" applyFill="1" applyBorder="1" applyAlignment="1" applyProtection="1">
      <alignment horizontal="center" vertical="center" wrapText="1"/>
      <protection hidden="1"/>
    </xf>
    <xf numFmtId="2" fontId="20" fillId="13" borderId="4" xfId="18" applyNumberFormat="1" applyFont="1" applyFill="1" applyBorder="1" applyAlignment="1" applyProtection="1">
      <alignment horizontal="justify" vertical="center" wrapText="1"/>
      <protection hidden="1"/>
    </xf>
    <xf numFmtId="0" fontId="29" fillId="0" borderId="102" xfId="0" applyFont="1" applyBorder="1" applyAlignment="1">
      <alignment horizontal="center" vertical="center" wrapText="1"/>
    </xf>
    <xf numFmtId="0" fontId="128" fillId="0" borderId="0" xfId="0" applyFont="1" applyAlignment="1">
      <alignment horizontal="center" vertical="center" wrapText="1"/>
    </xf>
    <xf numFmtId="0" fontId="131" fillId="0" borderId="0" xfId="0" applyFont="1" applyAlignment="1">
      <alignment horizontal="center" vertical="center" wrapText="1"/>
    </xf>
    <xf numFmtId="4" fontId="128" fillId="0" borderId="4" xfId="0" applyNumberFormat="1" applyFont="1" applyBorder="1" applyAlignment="1">
      <alignment horizontal="center" vertical="center" wrapText="1"/>
    </xf>
    <xf numFmtId="4" fontId="132" fillId="0" borderId="4" xfId="0" applyNumberFormat="1" applyFont="1" applyBorder="1" applyAlignment="1">
      <alignment horizontal="center" vertical="center" wrapText="1"/>
    </xf>
    <xf numFmtId="4" fontId="128" fillId="0" borderId="0" xfId="0" applyNumberFormat="1" applyFont="1" applyAlignment="1">
      <alignment horizontal="center" vertical="center" wrapText="1"/>
    </xf>
    <xf numFmtId="4" fontId="73" fillId="0" borderId="4" xfId="0" applyNumberFormat="1" applyFont="1" applyBorder="1" applyAlignment="1">
      <alignment horizontal="center" vertical="center" wrapText="1"/>
    </xf>
    <xf numFmtId="0" fontId="21" fillId="0" borderId="0" xfId="0" applyFont="1" applyAlignment="1">
      <alignment horizontal="center" vertical="center" wrapText="1"/>
    </xf>
    <xf numFmtId="4" fontId="132" fillId="0" borderId="0" xfId="0" applyNumberFormat="1" applyFont="1" applyAlignment="1">
      <alignment horizontal="center" vertical="center" wrapText="1"/>
    </xf>
    <xf numFmtId="4" fontId="73" fillId="0" borderId="0" xfId="0" applyNumberFormat="1" applyFont="1" applyAlignment="1">
      <alignment horizontal="center" vertical="center" wrapText="1"/>
    </xf>
    <xf numFmtId="0" fontId="35" fillId="11" borderId="4" xfId="0" applyFont="1" applyFill="1" applyBorder="1" applyAlignment="1">
      <alignment horizontal="justify" vertical="center" wrapText="1"/>
    </xf>
    <xf numFmtId="0" fontId="74" fillId="11" borderId="4" xfId="0" applyFont="1" applyFill="1" applyBorder="1" applyAlignment="1" applyProtection="1">
      <alignment horizontal="center" vertical="center" wrapText="1"/>
      <protection hidden="1"/>
    </xf>
    <xf numFmtId="0" fontId="10" fillId="11" borderId="4" xfId="0" applyFont="1" applyFill="1" applyBorder="1" applyAlignment="1" applyProtection="1">
      <alignment horizontal="center" vertical="center" wrapText="1"/>
      <protection hidden="1"/>
    </xf>
    <xf numFmtId="0" fontId="25" fillId="11" borderId="4" xfId="0" applyFont="1" applyFill="1" applyBorder="1" applyAlignment="1" applyProtection="1">
      <alignment horizontal="center" vertical="center" wrapText="1"/>
      <protection hidden="1"/>
    </xf>
    <xf numFmtId="0" fontId="126" fillId="36" borderId="4" xfId="0" applyFont="1" applyFill="1" applyBorder="1" applyAlignment="1" applyProtection="1">
      <alignment horizontal="center" vertical="center" wrapText="1"/>
      <protection hidden="1"/>
    </xf>
    <xf numFmtId="10" fontId="10" fillId="36" borderId="4" xfId="2" applyNumberFormat="1" applyFont="1" applyFill="1" applyBorder="1" applyAlignment="1" applyProtection="1">
      <alignment horizontal="center" vertical="center" wrapText="1"/>
      <protection hidden="1"/>
    </xf>
    <xf numFmtId="3" fontId="20" fillId="0" borderId="4" xfId="0" applyNumberFormat="1" applyFont="1" applyBorder="1" applyAlignment="1" applyProtection="1">
      <alignment horizontal="center" vertical="center" wrapText="1"/>
      <protection hidden="1"/>
    </xf>
    <xf numFmtId="3" fontId="20" fillId="0" borderId="4" xfId="0" applyNumberFormat="1" applyFont="1" applyBorder="1" applyAlignment="1" applyProtection="1">
      <alignment vertical="center" wrapText="1"/>
      <protection hidden="1"/>
    </xf>
    <xf numFmtId="0" fontId="73" fillId="13" borderId="0" xfId="21" applyFont="1" applyFill="1" applyBorder="1" applyAlignment="1">
      <alignment horizontal="center" vertical="center" wrapText="1"/>
    </xf>
    <xf numFmtId="0" fontId="111" fillId="38" borderId="19" xfId="21" applyFont="1" applyBorder="1" applyAlignment="1">
      <alignment horizontal="center" vertical="center" wrapText="1"/>
    </xf>
    <xf numFmtId="0" fontId="111" fillId="13" borderId="0" xfId="21" applyFont="1" applyFill="1" applyBorder="1" applyAlignment="1">
      <alignment horizontal="center" vertical="center" wrapText="1"/>
    </xf>
    <xf numFmtId="0" fontId="17" fillId="38" borderId="19" xfId="21" applyFont="1" applyBorder="1" applyAlignment="1">
      <alignment horizontal="center" vertical="center" wrapText="1"/>
    </xf>
    <xf numFmtId="0" fontId="136" fillId="4" borderId="40" xfId="16" applyFont="1" applyFill="1" applyBorder="1" applyAlignment="1" applyProtection="1">
      <alignment horizontal="center" vertical="center" wrapText="1"/>
    </xf>
    <xf numFmtId="0" fontId="136" fillId="13" borderId="0" xfId="16" applyFont="1" applyFill="1" applyBorder="1" applyAlignment="1" applyProtection="1">
      <alignment horizontal="center" vertical="center" wrapText="1"/>
    </xf>
    <xf numFmtId="0" fontId="17" fillId="38" borderId="124" xfId="21" applyFont="1" applyBorder="1" applyAlignment="1">
      <alignment horizontal="center" vertical="center" wrapText="1"/>
    </xf>
    <xf numFmtId="10" fontId="136" fillId="4" borderId="38" xfId="16" applyNumberFormat="1" applyFont="1" applyFill="1" applyBorder="1" applyAlignment="1" applyProtection="1">
      <alignment horizontal="center" vertical="center" wrapText="1"/>
    </xf>
    <xf numFmtId="0" fontId="60" fillId="0" borderId="0" xfId="0" applyFont="1" applyAlignment="1">
      <alignment horizontal="center" vertical="center" wrapText="1"/>
    </xf>
    <xf numFmtId="0" fontId="60" fillId="13" borderId="102" xfId="0" applyFont="1" applyFill="1" applyBorder="1" applyAlignment="1">
      <alignment horizontal="center" vertical="center" wrapText="1"/>
    </xf>
    <xf numFmtId="0" fontId="60" fillId="13" borderId="0" xfId="0" applyFont="1" applyFill="1" applyAlignment="1">
      <alignment horizontal="center" vertical="center" wrapText="1"/>
    </xf>
    <xf numFmtId="0" fontId="17" fillId="13" borderId="0" xfId="21" applyFont="1" applyFill="1" applyBorder="1" applyAlignment="1">
      <alignment horizontal="center" vertical="center" wrapText="1"/>
    </xf>
    <xf numFmtId="10" fontId="136" fillId="13" borderId="0" xfId="16" applyNumberFormat="1" applyFont="1" applyFill="1" applyBorder="1" applyAlignment="1" applyProtection="1">
      <alignment horizontal="center" vertical="center" wrapText="1"/>
    </xf>
    <xf numFmtId="0" fontId="139" fillId="6" borderId="19" xfId="5" applyFont="1" applyFill="1" applyBorder="1" applyAlignment="1">
      <alignment horizontal="center" vertical="center" wrapText="1"/>
    </xf>
    <xf numFmtId="0" fontId="140" fillId="46" borderId="19" xfId="5" applyFont="1" applyFill="1" applyBorder="1" applyAlignment="1">
      <alignment horizontal="center" vertical="center" wrapText="1"/>
    </xf>
    <xf numFmtId="9" fontId="140" fillId="46" borderId="19" xfId="7" applyFont="1" applyFill="1" applyBorder="1" applyAlignment="1">
      <alignment horizontal="center" vertical="center" wrapText="1"/>
    </xf>
    <xf numFmtId="0" fontId="139" fillId="13" borderId="0" xfId="5" applyFont="1" applyFill="1" applyAlignment="1">
      <alignment horizontal="center" vertical="center" wrapText="1"/>
    </xf>
    <xf numFmtId="0" fontId="140" fillId="13" borderId="0" xfId="5" applyFont="1" applyFill="1" applyAlignment="1">
      <alignment horizontal="center" vertical="center" wrapText="1"/>
    </xf>
    <xf numFmtId="9" fontId="140" fillId="13" borderId="0" xfId="7" applyFont="1" applyFill="1" applyBorder="1" applyAlignment="1">
      <alignment horizontal="center" vertical="center" wrapText="1"/>
    </xf>
    <xf numFmtId="0" fontId="139" fillId="6" borderId="38" xfId="5" applyFont="1" applyFill="1" applyBorder="1" applyAlignment="1">
      <alignment horizontal="center" vertical="center" wrapText="1"/>
    </xf>
    <xf numFmtId="0" fontId="139" fillId="6" borderId="38" xfId="5" applyFont="1" applyFill="1" applyBorder="1" applyAlignment="1">
      <alignment vertical="center" wrapText="1"/>
    </xf>
    <xf numFmtId="0" fontId="139" fillId="0" borderId="38" xfId="5" applyFont="1" applyBorder="1" applyAlignment="1">
      <alignment horizontal="center" vertical="center" wrapText="1"/>
    </xf>
    <xf numFmtId="0" fontId="139" fillId="13" borderId="103" xfId="5" applyFont="1" applyFill="1" applyBorder="1" applyAlignment="1">
      <alignment horizontal="center" vertical="center" wrapText="1"/>
    </xf>
    <xf numFmtId="0" fontId="139" fillId="13" borderId="2" xfId="5" applyFont="1" applyFill="1" applyBorder="1" applyAlignment="1">
      <alignment vertical="center" wrapText="1"/>
    </xf>
    <xf numFmtId="9" fontId="140" fillId="13" borderId="2" xfId="7" applyFont="1" applyFill="1" applyBorder="1" applyAlignment="1">
      <alignment horizontal="center" vertical="center" wrapText="1"/>
    </xf>
    <xf numFmtId="0" fontId="14" fillId="53" borderId="3" xfId="5" applyFont="1" applyFill="1" applyBorder="1" applyAlignment="1" applyProtection="1">
      <alignment vertical="center" wrapText="1"/>
      <protection locked="0"/>
    </xf>
    <xf numFmtId="0" fontId="139" fillId="13" borderId="0" xfId="5" applyFont="1" applyFill="1" applyAlignment="1">
      <alignment vertical="center" wrapText="1"/>
    </xf>
    <xf numFmtId="0" fontId="39" fillId="53" borderId="0" xfId="5" applyFont="1" applyFill="1" applyAlignment="1" applyProtection="1">
      <alignment vertical="center" wrapText="1"/>
      <protection locked="0"/>
    </xf>
    <xf numFmtId="0" fontId="25" fillId="47" borderId="0" xfId="0" applyFont="1" applyFill="1" applyAlignment="1">
      <alignment wrapText="1"/>
    </xf>
    <xf numFmtId="0" fontId="14" fillId="0" borderId="0" xfId="0" applyFont="1" applyAlignment="1">
      <alignment horizontal="justify" vertical="center" wrapText="1"/>
    </xf>
    <xf numFmtId="0" fontId="14" fillId="0" borderId="0" xfId="0" applyFont="1" applyAlignment="1" applyProtection="1">
      <alignment vertical="center"/>
      <protection hidden="1"/>
    </xf>
    <xf numFmtId="0" fontId="14" fillId="0" borderId="0" xfId="0" applyFont="1" applyAlignment="1" applyProtection="1">
      <alignment vertical="center"/>
      <protection locked="0"/>
    </xf>
    <xf numFmtId="0" fontId="19" fillId="0" borderId="0" xfId="0" applyFont="1" applyAlignment="1" applyProtection="1">
      <alignment vertical="center"/>
      <protection hidden="1"/>
    </xf>
    <xf numFmtId="0" fontId="25" fillId="0" borderId="0" xfId="0" applyFont="1" applyAlignment="1" applyProtection="1">
      <alignment horizontal="right" vertical="center"/>
      <protection hidden="1"/>
    </xf>
    <xf numFmtId="0" fontId="6" fillId="0" borderId="0" xfId="5" applyAlignment="1" applyProtection="1">
      <alignment vertical="center"/>
      <protection locked="0"/>
    </xf>
    <xf numFmtId="0" fontId="6" fillId="53" borderId="0" xfId="5" applyFill="1" applyAlignment="1" applyProtection="1">
      <alignment vertical="center"/>
      <protection locked="0"/>
    </xf>
    <xf numFmtId="0" fontId="101" fillId="0" borderId="0" xfId="5" applyFont="1" applyAlignment="1">
      <alignment vertical="center" wrapText="1"/>
    </xf>
    <xf numFmtId="0" fontId="71" fillId="0" borderId="0" xfId="0" applyFont="1" applyAlignment="1">
      <alignment vertical="center"/>
    </xf>
    <xf numFmtId="0" fontId="71" fillId="0" borderId="0" xfId="0" applyFont="1" applyAlignment="1">
      <alignment vertical="center" wrapText="1"/>
    </xf>
    <xf numFmtId="0" fontId="0" fillId="0" borderId="0" xfId="0" applyAlignment="1">
      <alignment vertical="center" wrapText="1"/>
    </xf>
    <xf numFmtId="9" fontId="0" fillId="0" borderId="0" xfId="2" applyFont="1" applyAlignment="1">
      <alignment vertical="center"/>
    </xf>
    <xf numFmtId="10" fontId="0" fillId="0" borderId="0" xfId="0" applyNumberFormat="1" applyAlignment="1">
      <alignment vertical="center"/>
    </xf>
    <xf numFmtId="0" fontId="142" fillId="60" borderId="16" xfId="5" applyFont="1" applyFill="1" applyBorder="1" applyAlignment="1" applyProtection="1">
      <alignment horizontal="justify" vertical="center" wrapText="1"/>
      <protection hidden="1"/>
    </xf>
    <xf numFmtId="9" fontId="143" fillId="60" borderId="4" xfId="7" applyFont="1" applyFill="1" applyBorder="1" applyAlignment="1" applyProtection="1">
      <alignment horizontal="center" vertical="center" wrapText="1"/>
      <protection hidden="1"/>
    </xf>
    <xf numFmtId="9" fontId="143" fillId="60" borderId="9" xfId="7" applyFont="1" applyFill="1" applyBorder="1" applyAlignment="1" applyProtection="1">
      <alignment horizontal="center" vertical="center" wrapText="1"/>
      <protection hidden="1"/>
    </xf>
    <xf numFmtId="9" fontId="144" fillId="41" borderId="4" xfId="23" applyNumberFormat="1" applyFont="1" applyBorder="1" applyAlignment="1" applyProtection="1">
      <alignment horizontal="center" vertical="center" wrapText="1"/>
      <protection hidden="1"/>
    </xf>
    <xf numFmtId="9" fontId="144" fillId="37" borderId="4" xfId="32" applyNumberFormat="1" applyFont="1" applyBorder="1" applyAlignment="1" applyProtection="1">
      <alignment horizontal="center" vertical="center" wrapText="1"/>
      <protection hidden="1"/>
    </xf>
    <xf numFmtId="9" fontId="146" fillId="59" borderId="4" xfId="7" applyFont="1" applyFill="1" applyBorder="1" applyAlignment="1" applyProtection="1">
      <alignment horizontal="center" vertical="center" wrapText="1"/>
      <protection hidden="1"/>
    </xf>
    <xf numFmtId="0" fontId="58" fillId="0" borderId="0" xfId="5" applyFont="1" applyAlignment="1">
      <alignment horizontal="justify" vertical="center" wrapText="1"/>
    </xf>
    <xf numFmtId="0" fontId="28" fillId="14" borderId="16" xfId="5" applyFont="1" applyFill="1" applyBorder="1" applyAlignment="1" applyProtection="1">
      <alignment horizontal="justify" vertical="center" wrapText="1"/>
      <protection hidden="1"/>
    </xf>
    <xf numFmtId="9" fontId="146" fillId="14" borderId="4" xfId="7" applyFont="1" applyFill="1" applyBorder="1" applyAlignment="1" applyProtection="1">
      <alignment horizontal="center" vertical="center" wrapText="1"/>
      <protection hidden="1"/>
    </xf>
    <xf numFmtId="9" fontId="146" fillId="14" borderId="9" xfId="7" applyFont="1" applyFill="1" applyBorder="1" applyAlignment="1" applyProtection="1">
      <alignment horizontal="center" vertical="center" wrapText="1"/>
      <protection hidden="1"/>
    </xf>
    <xf numFmtId="175" fontId="11" fillId="61" borderId="4" xfId="7" applyNumberFormat="1" applyFont="1" applyFill="1" applyBorder="1" applyAlignment="1" applyProtection="1">
      <alignment horizontal="center" vertical="center"/>
      <protection hidden="1"/>
    </xf>
    <xf numFmtId="0" fontId="147" fillId="13" borderId="0" xfId="5" applyFont="1" applyFill="1" applyAlignment="1">
      <alignment horizontal="center" vertical="center"/>
    </xf>
    <xf numFmtId="9" fontId="71" fillId="0" borderId="0" xfId="2" applyFont="1" applyAlignment="1">
      <alignment vertical="center"/>
    </xf>
    <xf numFmtId="9" fontId="0" fillId="0" borderId="0" xfId="0" applyNumberFormat="1" applyAlignment="1">
      <alignment vertical="center"/>
    </xf>
    <xf numFmtId="0" fontId="6" fillId="53" borderId="102" xfId="5" applyFill="1" applyBorder="1" applyAlignment="1" applyProtection="1">
      <alignment vertical="center"/>
      <protection locked="0"/>
    </xf>
    <xf numFmtId="9" fontId="71" fillId="0" borderId="0" xfId="0" applyNumberFormat="1" applyFont="1" applyAlignment="1">
      <alignment vertical="center"/>
    </xf>
    <xf numFmtId="0" fontId="0" fillId="0" borderId="102" xfId="0" applyBorder="1" applyAlignment="1">
      <alignment vertical="center"/>
    </xf>
    <xf numFmtId="0" fontId="10" fillId="62" borderId="62" xfId="5" applyFont="1" applyFill="1" applyBorder="1" applyAlignment="1" applyProtection="1">
      <alignment horizontal="center" vertical="center" wrapText="1"/>
      <protection hidden="1"/>
    </xf>
    <xf numFmtId="0" fontId="148" fillId="62" borderId="4" xfId="5" applyFont="1" applyFill="1" applyBorder="1" applyAlignment="1" applyProtection="1">
      <alignment horizontal="center" vertical="center"/>
      <protection hidden="1"/>
    </xf>
    <xf numFmtId="0" fontId="47" fillId="53" borderId="26" xfId="5" applyFont="1" applyFill="1" applyBorder="1" applyAlignment="1" applyProtection="1">
      <alignment vertical="center"/>
      <protection locked="0"/>
    </xf>
    <xf numFmtId="0" fontId="0" fillId="0" borderId="103" xfId="0" applyBorder="1" applyAlignment="1">
      <alignment vertical="center"/>
    </xf>
    <xf numFmtId="0" fontId="0" fillId="0" borderId="2" xfId="0" applyBorder="1" applyAlignment="1">
      <alignment vertical="center"/>
    </xf>
    <xf numFmtId="0" fontId="6" fillId="53" borderId="2" xfId="5" applyFill="1" applyBorder="1" applyAlignment="1" applyProtection="1">
      <alignment vertical="center"/>
      <protection locked="0"/>
    </xf>
    <xf numFmtId="0" fontId="10" fillId="62" borderId="126" xfId="5" applyFont="1" applyFill="1" applyBorder="1" applyAlignment="1" applyProtection="1">
      <alignment horizontal="center" vertical="center" wrapText="1"/>
      <protection hidden="1"/>
    </xf>
    <xf numFmtId="0" fontId="148" fillId="62" borderId="22" xfId="5" applyFont="1" applyFill="1" applyBorder="1" applyAlignment="1" applyProtection="1">
      <alignment horizontal="center" vertical="center"/>
      <protection hidden="1"/>
    </xf>
    <xf numFmtId="0" fontId="47" fillId="0" borderId="3" xfId="0" applyFont="1" applyBorder="1" applyAlignment="1">
      <alignment vertical="center"/>
    </xf>
    <xf numFmtId="0" fontId="10" fillId="0" borderId="0" xfId="5" applyFont="1" applyAlignment="1">
      <alignment horizontal="center" vertical="center" wrapText="1"/>
    </xf>
    <xf numFmtId="0" fontId="148" fillId="0" borderId="0" xfId="5" applyFont="1" applyAlignment="1">
      <alignment horizontal="center" vertical="center"/>
    </xf>
    <xf numFmtId="0" fontId="28" fillId="63" borderId="19" xfId="0" applyFont="1" applyFill="1" applyBorder="1" applyAlignment="1" applyProtection="1">
      <alignment horizontal="center" vertical="center"/>
      <protection hidden="1"/>
    </xf>
    <xf numFmtId="0" fontId="28" fillId="63" borderId="5" xfId="0" applyFont="1" applyFill="1" applyBorder="1" applyAlignment="1" applyProtection="1">
      <alignment horizontal="center" vertical="center"/>
      <protection hidden="1"/>
    </xf>
    <xf numFmtId="0" fontId="0" fillId="13" borderId="0" xfId="0" applyFill="1" applyAlignment="1">
      <alignment vertical="center"/>
    </xf>
    <xf numFmtId="0" fontId="10" fillId="13" borderId="0" xfId="5" applyFont="1" applyFill="1" applyAlignment="1">
      <alignment horizontal="center" vertical="center" wrapText="1"/>
    </xf>
    <xf numFmtId="0" fontId="148" fillId="13" borderId="0" xfId="5" applyFont="1" applyFill="1" applyAlignment="1">
      <alignment horizontal="center" vertical="center"/>
    </xf>
    <xf numFmtId="0" fontId="116" fillId="53" borderId="0" xfId="5" applyFont="1" applyFill="1" applyAlignment="1" applyProtection="1">
      <alignment vertical="center"/>
      <protection locked="0"/>
    </xf>
    <xf numFmtId="0" fontId="116" fillId="53" borderId="0" xfId="5" applyFont="1" applyFill="1" applyAlignment="1" applyProtection="1">
      <alignment horizontal="center" vertical="center"/>
      <protection locked="0"/>
    </xf>
    <xf numFmtId="0" fontId="53" fillId="53" borderId="0" xfId="5" applyFont="1" applyFill="1" applyAlignment="1" applyProtection="1">
      <alignment horizontal="center" vertical="center"/>
      <protection locked="0"/>
    </xf>
    <xf numFmtId="0" fontId="35" fillId="36" borderId="18" xfId="33" applyFont="1" applyFill="1" applyBorder="1" applyAlignment="1" applyProtection="1">
      <alignment horizontal="center" vertical="center" wrapText="1"/>
      <protection hidden="1"/>
    </xf>
    <xf numFmtId="0" fontId="35" fillId="36" borderId="22" xfId="33" applyFont="1" applyFill="1" applyBorder="1" applyAlignment="1" applyProtection="1">
      <alignment horizontal="center" vertical="center" wrapText="1"/>
      <protection hidden="1"/>
    </xf>
    <xf numFmtId="0" fontId="116" fillId="4" borderId="4" xfId="5" applyFont="1" applyFill="1" applyBorder="1" applyAlignment="1" applyProtection="1">
      <alignment horizontal="center" vertical="center" wrapText="1"/>
      <protection hidden="1"/>
    </xf>
    <xf numFmtId="0" fontId="150" fillId="4" borderId="4" xfId="5" applyFont="1" applyFill="1" applyBorder="1" applyAlignment="1" applyProtection="1">
      <alignment horizontal="justify" vertical="center" wrapText="1"/>
      <protection hidden="1"/>
    </xf>
    <xf numFmtId="4" fontId="150" fillId="15" borderId="4" xfId="5" applyNumberFormat="1" applyFont="1" applyFill="1" applyBorder="1" applyAlignment="1">
      <alignment horizontal="center" vertical="center" wrapText="1"/>
    </xf>
    <xf numFmtId="0" fontId="151" fillId="4" borderId="4" xfId="5" applyFont="1" applyFill="1" applyBorder="1" applyAlignment="1" applyProtection="1">
      <alignment horizontal="center" vertical="center" wrapText="1"/>
      <protection hidden="1"/>
    </xf>
    <xf numFmtId="0" fontId="9" fillId="4" borderId="4" xfId="5" applyFont="1" applyFill="1" applyBorder="1" applyAlignment="1" applyProtection="1">
      <alignment horizontal="justify" vertical="center" wrapText="1"/>
      <protection hidden="1"/>
    </xf>
    <xf numFmtId="0" fontId="53" fillId="4" borderId="4" xfId="5" applyFont="1" applyFill="1" applyBorder="1" applyAlignment="1" applyProtection="1">
      <alignment horizontal="center" vertical="center" wrapText="1"/>
      <protection hidden="1"/>
    </xf>
    <xf numFmtId="0" fontId="151" fillId="4" borderId="4" xfId="5" applyFont="1" applyFill="1" applyBorder="1" applyAlignment="1" applyProtection="1">
      <alignment horizontal="justify" vertical="center" wrapText="1"/>
      <protection hidden="1"/>
    </xf>
    <xf numFmtId="10" fontId="109" fillId="15" borderId="17" xfId="5" applyNumberFormat="1" applyFont="1" applyFill="1" applyBorder="1" applyAlignment="1" applyProtection="1">
      <alignment horizontal="center" vertical="center"/>
      <protection locked="0"/>
    </xf>
    <xf numFmtId="3" fontId="150" fillId="15" borderId="4" xfId="5" applyNumberFormat="1" applyFont="1" applyFill="1" applyBorder="1" applyAlignment="1">
      <alignment horizontal="center" vertical="center" wrapText="1"/>
    </xf>
    <xf numFmtId="0" fontId="27" fillId="4" borderId="4" xfId="5" applyFont="1" applyFill="1" applyBorder="1" applyAlignment="1" applyProtection="1">
      <alignment horizontal="center" vertical="center" wrapText="1"/>
      <protection hidden="1"/>
    </xf>
    <xf numFmtId="3" fontId="151" fillId="15" borderId="4" xfId="5" applyNumberFormat="1" applyFont="1" applyFill="1" applyBorder="1" applyAlignment="1">
      <alignment horizontal="center" vertical="center" wrapText="1"/>
    </xf>
    <xf numFmtId="4" fontId="151" fillId="15" borderId="4" xfId="5" applyNumberFormat="1" applyFont="1" applyFill="1" applyBorder="1" applyAlignment="1">
      <alignment horizontal="center" vertical="center" wrapText="1"/>
    </xf>
    <xf numFmtId="0" fontId="9" fillId="4" borderId="4" xfId="5" applyFont="1" applyFill="1" applyBorder="1" applyAlignment="1" applyProtection="1">
      <alignment horizontal="center" vertical="center" wrapText="1"/>
      <protection hidden="1"/>
    </xf>
    <xf numFmtId="10" fontId="28" fillId="15" borderId="17" xfId="5" applyNumberFormat="1" applyFont="1" applyFill="1" applyBorder="1" applyAlignment="1" applyProtection="1">
      <alignment horizontal="center" vertical="center"/>
      <protection locked="0"/>
    </xf>
    <xf numFmtId="0" fontId="150" fillId="15" borderId="4" xfId="5" applyFont="1" applyFill="1" applyBorder="1" applyAlignment="1">
      <alignment horizontal="justify" vertical="center" wrapText="1"/>
    </xf>
    <xf numFmtId="0" fontId="150" fillId="4" borderId="4" xfId="5" applyFont="1" applyFill="1" applyBorder="1" applyAlignment="1" applyProtection="1">
      <alignment horizontal="center" vertical="center" wrapText="1"/>
      <protection hidden="1"/>
    </xf>
    <xf numFmtId="0" fontId="53" fillId="15" borderId="4" xfId="5" applyFont="1" applyFill="1" applyBorder="1" applyAlignment="1">
      <alignment horizontal="center" vertical="center" wrapText="1"/>
    </xf>
    <xf numFmtId="0" fontId="9" fillId="15" borderId="4" xfId="5" applyFont="1" applyFill="1" applyBorder="1" applyAlignment="1">
      <alignment horizontal="center" vertical="center" wrapText="1"/>
    </xf>
    <xf numFmtId="0" fontId="14" fillId="15" borderId="4" xfId="0" applyFont="1" applyFill="1" applyBorder="1" applyAlignment="1">
      <alignment vertical="center"/>
    </xf>
    <xf numFmtId="0" fontId="65" fillId="15" borderId="4" xfId="5" applyFont="1" applyFill="1" applyBorder="1" applyAlignment="1">
      <alignment horizontal="center" vertical="center" textRotation="90" wrapText="1"/>
    </xf>
    <xf numFmtId="0" fontId="27" fillId="4" borderId="4" xfId="5" applyFont="1" applyFill="1" applyBorder="1" applyAlignment="1" applyProtection="1">
      <alignment horizontal="center" vertical="center" wrapText="1"/>
      <protection locked="0"/>
    </xf>
    <xf numFmtId="0" fontId="151" fillId="4" borderId="4" xfId="5" applyFont="1" applyFill="1" applyBorder="1" applyAlignment="1" applyProtection="1">
      <alignment horizontal="justify" vertical="center" wrapText="1"/>
      <protection locked="0"/>
    </xf>
    <xf numFmtId="0" fontId="150" fillId="15" borderId="4" xfId="5" applyFont="1" applyFill="1" applyBorder="1" applyAlignment="1" applyProtection="1">
      <alignment horizontal="justify" vertical="center" wrapText="1"/>
      <protection locked="0"/>
    </xf>
    <xf numFmtId="0" fontId="151" fillId="4" borderId="4" xfId="5" applyFont="1" applyFill="1" applyBorder="1" applyAlignment="1" applyProtection="1">
      <alignment horizontal="center" vertical="center" wrapText="1"/>
      <protection locked="0"/>
    </xf>
    <xf numFmtId="0" fontId="9" fillId="4" borderId="4" xfId="5" applyFont="1" applyFill="1" applyBorder="1" applyAlignment="1" applyProtection="1">
      <alignment horizontal="justify" vertical="center" wrapText="1"/>
      <protection locked="0"/>
    </xf>
    <xf numFmtId="0" fontId="53" fillId="4" borderId="4" xfId="5" applyFont="1" applyFill="1" applyBorder="1" applyAlignment="1" applyProtection="1">
      <alignment horizontal="center" vertical="center" wrapText="1"/>
      <protection locked="0"/>
    </xf>
    <xf numFmtId="0" fontId="150" fillId="4" borderId="4" xfId="5" applyFont="1" applyFill="1" applyBorder="1" applyAlignment="1" applyProtection="1">
      <alignment horizontal="justify" vertical="center" wrapText="1"/>
      <protection locked="0"/>
    </xf>
    <xf numFmtId="0" fontId="53" fillId="4" borderId="4" xfId="5" applyFont="1" applyFill="1" applyBorder="1" applyAlignment="1" applyProtection="1">
      <alignment horizontal="justify" vertical="center" wrapText="1"/>
      <protection hidden="1"/>
    </xf>
    <xf numFmtId="0" fontId="53" fillId="4" borderId="20" xfId="5" applyFont="1" applyFill="1" applyBorder="1" applyAlignment="1" applyProtection="1">
      <alignment horizontal="center" vertical="center" wrapText="1"/>
      <protection hidden="1"/>
    </xf>
    <xf numFmtId="0" fontId="150" fillId="4" borderId="20" xfId="5" applyFont="1" applyFill="1" applyBorder="1" applyAlignment="1" applyProtection="1">
      <alignment horizontal="center" vertical="center" wrapText="1"/>
      <protection hidden="1"/>
    </xf>
    <xf numFmtId="0" fontId="27" fillId="4" borderId="22" xfId="5" applyFont="1" applyFill="1" applyBorder="1" applyAlignment="1" applyProtection="1">
      <alignment horizontal="center" vertical="center" wrapText="1"/>
      <protection hidden="1"/>
    </xf>
    <xf numFmtId="0" fontId="152" fillId="4" borderId="22" xfId="5" applyFont="1" applyFill="1" applyBorder="1" applyAlignment="1" applyProtection="1">
      <alignment horizontal="center" vertical="center" wrapText="1"/>
      <protection hidden="1"/>
    </xf>
    <xf numFmtId="0" fontId="151" fillId="15" borderId="22" xfId="5" applyFont="1" applyFill="1" applyBorder="1" applyAlignment="1">
      <alignment horizontal="justify" vertical="center" wrapText="1"/>
    </xf>
    <xf numFmtId="0" fontId="151" fillId="4" borderId="22" xfId="5" applyFont="1" applyFill="1" applyBorder="1" applyAlignment="1" applyProtection="1">
      <alignment horizontal="center" vertical="center" wrapText="1"/>
      <protection hidden="1"/>
    </xf>
    <xf numFmtId="0" fontId="9" fillId="4" borderId="22" xfId="5" applyFont="1" applyFill="1" applyBorder="1" applyAlignment="1" applyProtection="1">
      <alignment horizontal="justify" vertical="center" wrapText="1"/>
      <protection hidden="1"/>
    </xf>
    <xf numFmtId="0" fontId="9" fillId="4" borderId="22" xfId="5" applyFont="1" applyFill="1" applyBorder="1" applyAlignment="1" applyProtection="1">
      <alignment horizontal="center" vertical="center" wrapText="1"/>
      <protection hidden="1"/>
    </xf>
    <xf numFmtId="0" fontId="151" fillId="4" borderId="22" xfId="5" applyFont="1" applyFill="1" applyBorder="1" applyAlignment="1" applyProtection="1">
      <alignment horizontal="justify" vertical="center" wrapText="1"/>
      <protection hidden="1"/>
    </xf>
    <xf numFmtId="10" fontId="28" fillId="15" borderId="23" xfId="5" applyNumberFormat="1" applyFont="1" applyFill="1" applyBorder="1" applyAlignment="1" applyProtection="1">
      <alignment horizontal="center" vertical="center"/>
      <protection locked="0"/>
    </xf>
    <xf numFmtId="0" fontId="53" fillId="4" borderId="11" xfId="5" applyFont="1" applyFill="1" applyBorder="1" applyAlignment="1" applyProtection="1">
      <alignment horizontal="center" vertical="center" wrapText="1"/>
      <protection hidden="1"/>
    </xf>
    <xf numFmtId="9" fontId="109" fillId="15" borderId="12" xfId="5" applyNumberFormat="1" applyFont="1" applyFill="1" applyBorder="1" applyAlignment="1" applyProtection="1">
      <alignment horizontal="center" vertical="center"/>
      <protection locked="0"/>
    </xf>
    <xf numFmtId="9" fontId="109" fillId="15" borderId="17" xfId="5" applyNumberFormat="1" applyFont="1" applyFill="1" applyBorder="1" applyAlignment="1" applyProtection="1">
      <alignment horizontal="center" vertical="center"/>
      <protection locked="0"/>
    </xf>
    <xf numFmtId="0" fontId="53" fillId="4" borderId="22" xfId="5" applyFont="1" applyFill="1" applyBorder="1" applyAlignment="1" applyProtection="1">
      <alignment horizontal="center" vertical="center" wrapText="1"/>
      <protection hidden="1"/>
    </xf>
    <xf numFmtId="9" fontId="109" fillId="15" borderId="23" xfId="5" applyNumberFormat="1" applyFont="1" applyFill="1" applyBorder="1" applyAlignment="1" applyProtection="1">
      <alignment horizontal="center" vertical="center"/>
      <protection locked="0"/>
    </xf>
    <xf numFmtId="0" fontId="53" fillId="13" borderId="0" xfId="5" applyFont="1" applyFill="1" applyAlignment="1" applyProtection="1">
      <alignment vertical="center" wrapText="1"/>
      <protection hidden="1"/>
    </xf>
    <xf numFmtId="0" fontId="93" fillId="0" borderId="0" xfId="0" applyFont="1" applyAlignment="1">
      <alignment vertical="center"/>
    </xf>
    <xf numFmtId="0" fontId="0" fillId="0" borderId="102" xfId="0" applyBorder="1" applyAlignment="1" applyProtection="1">
      <alignment vertical="center"/>
      <protection hidden="1"/>
    </xf>
    <xf numFmtId="0" fontId="0" fillId="0" borderId="26" xfId="0" applyBorder="1" applyAlignment="1" applyProtection="1">
      <alignment vertical="center"/>
      <protection hidden="1"/>
    </xf>
    <xf numFmtId="0" fontId="14" fillId="0" borderId="102" xfId="0" applyFont="1" applyBorder="1" applyAlignment="1" applyProtection="1">
      <alignment horizontal="justify" vertical="center"/>
      <protection hidden="1"/>
    </xf>
    <xf numFmtId="0" fontId="153" fillId="0" borderId="102" xfId="0" applyFont="1" applyBorder="1" applyAlignment="1" applyProtection="1">
      <alignment horizontal="left" vertical="center"/>
      <protection hidden="1"/>
    </xf>
    <xf numFmtId="0" fontId="14" fillId="0" borderId="0" xfId="0" applyFont="1" applyAlignment="1">
      <alignment horizontal="justify" vertical="center"/>
    </xf>
    <xf numFmtId="0" fontId="25" fillId="0" borderId="0" xfId="0" applyFont="1" applyAlignment="1">
      <alignment horizontal="justify" vertical="center"/>
    </xf>
    <xf numFmtId="0" fontId="22" fillId="0" borderId="0" xfId="0" applyFont="1" applyAlignment="1" applyProtection="1">
      <alignment vertical="center"/>
      <protection hidden="1"/>
    </xf>
    <xf numFmtId="0" fontId="14" fillId="0" borderId="0" xfId="0" applyFont="1" applyAlignment="1">
      <alignment horizontal="left" vertical="center"/>
    </xf>
    <xf numFmtId="0" fontId="14" fillId="0" borderId="0" xfId="0" applyFont="1" applyAlignment="1">
      <alignment horizontal="center" vertical="center"/>
    </xf>
    <xf numFmtId="0" fontId="25" fillId="0" borderId="0" xfId="0" applyFont="1" applyAlignment="1" applyProtection="1">
      <alignment horizontal="right" vertical="center"/>
      <protection locked="0"/>
    </xf>
    <xf numFmtId="0" fontId="25" fillId="0" borderId="0" xfId="0" applyFont="1" applyAlignment="1" applyProtection="1">
      <alignment horizontal="left" vertical="center"/>
      <protection hidden="1"/>
    </xf>
    <xf numFmtId="0" fontId="25" fillId="0" borderId="0" xfId="0"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14" fillId="13" borderId="0" xfId="0" applyFont="1" applyFill="1" applyAlignment="1" applyProtection="1">
      <alignment vertical="center"/>
      <protection hidden="1"/>
    </xf>
    <xf numFmtId="0" fontId="25" fillId="13" borderId="0" xfId="0" applyFont="1" applyFill="1" applyAlignment="1" applyProtection="1">
      <alignment vertical="center"/>
      <protection hidden="1"/>
    </xf>
    <xf numFmtId="0" fontId="14" fillId="13" borderId="0" xfId="0" applyFont="1" applyFill="1" applyAlignment="1" applyProtection="1">
      <alignment horizontal="left" vertical="center"/>
      <protection locked="0"/>
    </xf>
    <xf numFmtId="0" fontId="35" fillId="13" borderId="0" xfId="0" applyFont="1" applyFill="1" applyAlignment="1" applyProtection="1">
      <alignment horizontal="left" vertical="center"/>
      <protection locked="0"/>
    </xf>
    <xf numFmtId="0" fontId="9" fillId="13" borderId="0" xfId="0" applyFont="1" applyFill="1" applyAlignment="1" applyProtection="1">
      <alignment vertical="center"/>
      <protection hidden="1"/>
    </xf>
    <xf numFmtId="0" fontId="14" fillId="0" borderId="0" xfId="0" applyFont="1" applyAlignment="1" applyProtection="1">
      <alignment horizontal="left" vertical="center"/>
      <protection locked="0"/>
    </xf>
    <xf numFmtId="0" fontId="158" fillId="0" borderId="0" xfId="0" applyFont="1" applyAlignment="1" applyProtection="1">
      <alignment horizontal="center" vertical="center"/>
      <protection hidden="1"/>
    </xf>
    <xf numFmtId="0" fontId="73" fillId="0" borderId="102" xfId="5" applyFont="1" applyBorder="1" applyAlignment="1">
      <alignment vertical="center" textRotation="255" wrapText="1"/>
    </xf>
    <xf numFmtId="43" fontId="14" fillId="0" borderId="0" xfId="18" applyFont="1" applyAlignment="1">
      <alignment vertical="center"/>
    </xf>
    <xf numFmtId="0" fontId="132" fillId="0" borderId="0" xfId="5" applyFont="1" applyAlignment="1">
      <alignment vertical="center" textRotation="255" wrapText="1"/>
    </xf>
    <xf numFmtId="0" fontId="116" fillId="0" borderId="0" xfId="5" applyFont="1" applyAlignment="1">
      <alignment horizontal="center" vertical="center" wrapText="1"/>
    </xf>
    <xf numFmtId="0" fontId="150" fillId="0" borderId="0" xfId="5" applyFont="1" applyAlignment="1">
      <alignment horizontal="justify" vertical="center" wrapText="1"/>
    </xf>
    <xf numFmtId="10" fontId="150" fillId="0" borderId="0" xfId="2" applyNumberFormat="1" applyFont="1" applyFill="1" applyBorder="1" applyAlignment="1">
      <alignment horizontal="center" vertical="center" wrapText="1"/>
    </xf>
    <xf numFmtId="0" fontId="150" fillId="0" borderId="0" xfId="5" applyFont="1" applyAlignment="1">
      <alignment horizontal="center" vertical="center" wrapText="1"/>
    </xf>
    <xf numFmtId="0" fontId="53" fillId="0" borderId="0" xfId="5" applyFont="1" applyAlignment="1">
      <alignment horizontal="justify" vertical="center" wrapText="1"/>
    </xf>
    <xf numFmtId="0" fontId="53" fillId="0" borderId="0" xfId="5" applyFont="1" applyAlignment="1">
      <alignment horizontal="center" vertical="center" wrapText="1"/>
    </xf>
    <xf numFmtId="0" fontId="20" fillId="0" borderId="0" xfId="0" applyFont="1" applyAlignment="1">
      <alignment horizontal="center" vertical="center" wrapText="1"/>
    </xf>
    <xf numFmtId="10" fontId="116" fillId="0" borderId="0" xfId="5" applyNumberFormat="1" applyFont="1" applyAlignment="1">
      <alignment horizontal="center" vertical="center"/>
    </xf>
    <xf numFmtId="0" fontId="132" fillId="0" borderId="99" xfId="5" applyFont="1" applyBorder="1" applyAlignment="1">
      <alignment vertical="center" textRotation="255" wrapText="1"/>
    </xf>
    <xf numFmtId="0" fontId="53" fillId="0" borderId="100" xfId="5" applyFont="1" applyBorder="1" applyAlignment="1">
      <alignment horizontal="justify" vertical="center" wrapText="1"/>
    </xf>
    <xf numFmtId="0" fontId="53" fillId="0" borderId="100" xfId="5" applyFont="1" applyBorder="1" applyAlignment="1">
      <alignment horizontal="center" vertical="center" wrapText="1"/>
    </xf>
    <xf numFmtId="0" fontId="20" fillId="0" borderId="100" xfId="0" applyFont="1" applyBorder="1" applyAlignment="1">
      <alignment horizontal="center" vertical="center" wrapText="1"/>
    </xf>
    <xf numFmtId="0" fontId="150" fillId="0" borderId="100" xfId="5" applyFont="1" applyBorder="1" applyAlignment="1">
      <alignment horizontal="justify" vertical="center" wrapText="1"/>
    </xf>
    <xf numFmtId="10" fontId="116" fillId="0" borderId="100" xfId="5" applyNumberFormat="1" applyFont="1" applyBorder="1" applyAlignment="1">
      <alignment horizontal="center" vertical="center"/>
    </xf>
    <xf numFmtId="0" fontId="14" fillId="0" borderId="100" xfId="0" applyFont="1" applyBorder="1" applyAlignment="1">
      <alignment vertical="center"/>
    </xf>
    <xf numFmtId="0" fontId="14" fillId="0" borderId="101" xfId="0" applyFont="1" applyBorder="1" applyAlignment="1">
      <alignment vertical="center"/>
    </xf>
    <xf numFmtId="0" fontId="25" fillId="0" borderId="102" xfId="0" applyFont="1" applyBorder="1" applyAlignment="1" applyProtection="1">
      <alignment horizontal="left" vertical="center"/>
      <protection hidden="1"/>
    </xf>
    <xf numFmtId="0" fontId="116" fillId="0" borderId="0" xfId="5" applyFont="1" applyAlignment="1">
      <alignment horizontal="justify" vertical="center" wrapText="1"/>
    </xf>
    <xf numFmtId="0" fontId="65" fillId="0" borderId="0" xfId="5" applyFont="1" applyAlignment="1">
      <alignment horizontal="center" vertical="center" textRotation="90" wrapText="1"/>
    </xf>
    <xf numFmtId="10" fontId="109" fillId="0" borderId="0" xfId="5" applyNumberFormat="1" applyFont="1" applyAlignment="1">
      <alignment horizontal="center" vertical="center"/>
    </xf>
    <xf numFmtId="0" fontId="14" fillId="0" borderId="26" xfId="0" applyFont="1" applyBorder="1" applyAlignment="1">
      <alignment vertical="center"/>
    </xf>
    <xf numFmtId="0" fontId="14" fillId="0" borderId="102" xfId="0" applyFont="1" applyBorder="1" applyAlignment="1">
      <alignment vertical="center"/>
    </xf>
    <xf numFmtId="0" fontId="51" fillId="64" borderId="131" xfId="0" applyFont="1" applyFill="1" applyBorder="1" applyAlignment="1">
      <alignment horizontal="center" vertical="center" wrapText="1"/>
    </xf>
    <xf numFmtId="0" fontId="51" fillId="64" borderId="7" xfId="0" applyFont="1" applyFill="1" applyBorder="1" applyAlignment="1">
      <alignment horizontal="center" vertical="center" wrapText="1"/>
    </xf>
    <xf numFmtId="0" fontId="51" fillId="64" borderId="8" xfId="0" applyFont="1" applyFill="1" applyBorder="1" applyAlignment="1">
      <alignment horizontal="center" vertical="center" wrapText="1"/>
    </xf>
    <xf numFmtId="0" fontId="51" fillId="64" borderId="101" xfId="0" applyFont="1" applyFill="1" applyBorder="1" applyAlignment="1">
      <alignment horizontal="center" vertical="center" wrapText="1"/>
    </xf>
    <xf numFmtId="44" fontId="25" fillId="20" borderId="40" xfId="14" applyFont="1" applyFill="1" applyBorder="1" applyAlignment="1" applyProtection="1">
      <alignment vertical="center"/>
      <protection hidden="1"/>
    </xf>
    <xf numFmtId="0" fontId="25" fillId="0" borderId="0" xfId="0" applyFont="1" applyAlignment="1">
      <alignment horizontal="left"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44" fontId="14" fillId="15" borderId="4" xfId="14" applyFont="1" applyFill="1" applyBorder="1" applyAlignment="1" applyProtection="1">
      <alignment vertical="center"/>
      <protection hidden="1"/>
    </xf>
    <xf numFmtId="187" fontId="14" fillId="16" borderId="4" xfId="2" applyNumberFormat="1" applyFont="1" applyFill="1" applyBorder="1" applyAlignment="1" applyProtection="1">
      <alignment horizontal="center" vertical="center"/>
      <protection hidden="1"/>
    </xf>
    <xf numFmtId="0" fontId="161" fillId="64" borderId="4" xfId="0" applyFont="1" applyFill="1" applyBorder="1" applyAlignment="1" applyProtection="1">
      <alignment horizontal="center" vertical="center" wrapText="1"/>
      <protection hidden="1"/>
    </xf>
    <xf numFmtId="0" fontId="25" fillId="0" borderId="0" xfId="0" applyFont="1" applyAlignment="1">
      <alignment vertical="center"/>
    </xf>
    <xf numFmtId="2" fontId="14" fillId="13" borderId="0" xfId="27" applyNumberFormat="1" applyFont="1" applyFill="1" applyBorder="1" applyAlignment="1" applyProtection="1">
      <alignment vertical="center"/>
      <protection hidden="1"/>
    </xf>
    <xf numFmtId="0" fontId="25" fillId="0" borderId="0" xfId="0" applyFont="1" applyAlignment="1" applyProtection="1">
      <alignment vertical="center"/>
      <protection hidden="1"/>
    </xf>
    <xf numFmtId="0" fontId="14" fillId="0" borderId="0" xfId="0" applyFont="1" applyAlignment="1" applyProtection="1">
      <alignment horizontal="right" vertical="center"/>
      <protection hidden="1"/>
    </xf>
    <xf numFmtId="0" fontId="14" fillId="13" borderId="0" xfId="0" applyFont="1" applyFill="1" applyAlignment="1" applyProtection="1">
      <alignment vertical="center" wrapText="1"/>
      <protection hidden="1"/>
    </xf>
    <xf numFmtId="0" fontId="25" fillId="0" borderId="0" xfId="0" applyFont="1"/>
    <xf numFmtId="0" fontId="58" fillId="27" borderId="89" xfId="0" applyFont="1" applyFill="1" applyBorder="1" applyAlignment="1">
      <alignment horizontal="center" wrapText="1"/>
    </xf>
    <xf numFmtId="0" fontId="58" fillId="27" borderId="42" xfId="0" applyFont="1" applyFill="1" applyBorder="1" applyAlignment="1">
      <alignment horizontal="center" wrapText="1"/>
    </xf>
    <xf numFmtId="0" fontId="25" fillId="30" borderId="4" xfId="0" applyFont="1" applyFill="1" applyBorder="1" applyAlignment="1">
      <alignment horizontal="center" vertical="center" wrapText="1"/>
    </xf>
    <xf numFmtId="0" fontId="14" fillId="64" borderId="0" xfId="0" applyFont="1" applyFill="1" applyAlignment="1">
      <alignment horizontal="center" vertical="center"/>
    </xf>
    <xf numFmtId="0" fontId="13" fillId="13" borderId="0" xfId="0" applyFont="1" applyFill="1" applyAlignment="1" applyProtection="1">
      <alignment vertical="top" wrapText="1"/>
      <protection hidden="1"/>
    </xf>
    <xf numFmtId="0" fontId="27" fillId="13" borderId="0" xfId="0" applyFont="1" applyFill="1" applyAlignment="1" applyProtection="1">
      <alignment vertical="top" wrapText="1"/>
      <protection hidden="1"/>
    </xf>
    <xf numFmtId="0" fontId="0" fillId="28" borderId="89" xfId="0" applyFill="1" applyBorder="1"/>
    <xf numFmtId="9" fontId="0" fillId="28" borderId="42" xfId="0" applyNumberFormat="1" applyFill="1" applyBorder="1" applyAlignment="1">
      <alignment horizontal="center"/>
    </xf>
    <xf numFmtId="9" fontId="14" fillId="0" borderId="0" xfId="0" applyNumberFormat="1" applyFont="1" applyAlignment="1">
      <alignment horizontal="center"/>
    </xf>
    <xf numFmtId="0" fontId="0" fillId="28" borderId="42" xfId="0" applyFill="1" applyBorder="1"/>
    <xf numFmtId="0" fontId="47" fillId="30" borderId="14" xfId="0" applyFont="1" applyFill="1" applyBorder="1" applyAlignment="1" applyProtection="1">
      <alignment vertical="center" wrapText="1"/>
      <protection locked="0" hidden="1"/>
    </xf>
    <xf numFmtId="0" fontId="35" fillId="0" borderId="4" xfId="0" applyFont="1" applyBorder="1" applyAlignment="1" applyProtection="1">
      <alignment horizontal="left" vertical="center" wrapText="1"/>
      <protection hidden="1"/>
    </xf>
    <xf numFmtId="0" fontId="47" fillId="30" borderId="14" xfId="0" applyFont="1" applyFill="1" applyBorder="1" applyAlignment="1">
      <alignment vertical="center" wrapText="1"/>
    </xf>
    <xf numFmtId="0" fontId="47" fillId="0" borderId="14" xfId="0" applyFont="1" applyBorder="1" applyAlignment="1">
      <alignment vertical="center" wrapText="1"/>
    </xf>
    <xf numFmtId="0" fontId="47" fillId="15" borderId="14" xfId="0" applyFont="1" applyFill="1" applyBorder="1" applyAlignment="1">
      <alignment vertical="center" wrapText="1"/>
    </xf>
    <xf numFmtId="9" fontId="0" fillId="0" borderId="0" xfId="2" applyFont="1" applyAlignment="1">
      <alignment horizontal="center" vertical="center"/>
    </xf>
    <xf numFmtId="0" fontId="59" fillId="0" borderId="0" xfId="0" applyFont="1"/>
    <xf numFmtId="0" fontId="14" fillId="15" borderId="0" xfId="0" applyFont="1" applyFill="1" applyAlignment="1">
      <alignment horizontal="center" vertical="center" wrapText="1"/>
    </xf>
    <xf numFmtId="0" fontId="30" fillId="0" borderId="4" xfId="0" applyFont="1" applyBorder="1" applyAlignment="1">
      <alignment horizontal="left" vertical="center" wrapText="1"/>
    </xf>
    <xf numFmtId="0" fontId="59" fillId="0" borderId="0" xfId="0" applyFont="1" applyAlignment="1">
      <alignment horizontal="left"/>
    </xf>
    <xf numFmtId="0" fontId="0" fillId="0" borderId="0" xfId="0" applyAlignment="1">
      <alignment horizontal="left"/>
    </xf>
    <xf numFmtId="0" fontId="14" fillId="0" borderId="0" xfId="0" applyFont="1" applyAlignment="1">
      <alignment horizontal="center"/>
    </xf>
    <xf numFmtId="0" fontId="0" fillId="0" borderId="42" xfId="0" applyBorder="1"/>
    <xf numFmtId="0" fontId="47" fillId="30" borderId="4" xfId="0" applyFont="1" applyFill="1" applyBorder="1" applyAlignment="1">
      <alignment vertical="center" wrapText="1"/>
    </xf>
    <xf numFmtId="9" fontId="0" fillId="0" borderId="42" xfId="0" applyNumberFormat="1" applyBorder="1" applyAlignment="1">
      <alignment horizontal="center"/>
    </xf>
    <xf numFmtId="0" fontId="59" fillId="5" borderId="0" xfId="0" applyFont="1" applyFill="1" applyAlignment="1">
      <alignment horizontal="left"/>
    </xf>
    <xf numFmtId="0" fontId="0" fillId="0" borderId="89" xfId="0" applyBorder="1"/>
    <xf numFmtId="0" fontId="47" fillId="30" borderId="0" xfId="0" applyFont="1" applyFill="1" applyAlignment="1">
      <alignment vertical="center" wrapText="1"/>
    </xf>
    <xf numFmtId="0" fontId="47" fillId="30" borderId="14" xfId="0" applyFont="1" applyFill="1" applyBorder="1" applyAlignment="1" applyProtection="1">
      <alignment vertical="center" wrapText="1"/>
      <protection locked="0"/>
    </xf>
    <xf numFmtId="0" fontId="0" fillId="5" borderId="0" xfId="0" applyFill="1"/>
    <xf numFmtId="0" fontId="0" fillId="5" borderId="0" xfId="0" applyFill="1" applyAlignment="1">
      <alignment horizontal="left"/>
    </xf>
    <xf numFmtId="0" fontId="47" fillId="0" borderId="14" xfId="0" applyFont="1" applyBorder="1" applyAlignment="1" applyProtection="1">
      <alignment vertical="center" wrapText="1"/>
      <protection locked="0"/>
    </xf>
    <xf numFmtId="0" fontId="47" fillId="0" borderId="0" xfId="0" applyFont="1" applyAlignment="1">
      <alignment wrapText="1"/>
    </xf>
    <xf numFmtId="0" fontId="47" fillId="0" borderId="0" xfId="0" applyFont="1"/>
    <xf numFmtId="0" fontId="47" fillId="0" borderId="0" xfId="0" applyFont="1" applyAlignment="1">
      <alignment horizontal="left" vertical="center"/>
    </xf>
    <xf numFmtId="0" fontId="59" fillId="0" borderId="4" xfId="0" applyFont="1" applyBorder="1" applyAlignment="1">
      <alignment vertical="center" wrapText="1"/>
    </xf>
    <xf numFmtId="180" fontId="0" fillId="0" borderId="9" xfId="26" applyNumberFormat="1" applyFont="1" applyBorder="1" applyAlignment="1" applyProtection="1">
      <alignment vertical="center" wrapText="1"/>
      <protection locked="0"/>
    </xf>
    <xf numFmtId="0" fontId="14" fillId="0" borderId="4" xfId="0" applyFont="1" applyBorder="1" applyAlignment="1">
      <alignment vertical="center" wrapText="1"/>
    </xf>
    <xf numFmtId="10" fontId="0" fillId="0" borderId="4" xfId="0" applyNumberFormat="1" applyBorder="1" applyAlignment="1">
      <alignment vertical="center" wrapText="1"/>
    </xf>
    <xf numFmtId="0" fontId="14" fillId="0" borderId="0" xfId="0" applyFont="1" applyAlignment="1">
      <alignment vertical="center" wrapText="1"/>
    </xf>
    <xf numFmtId="180" fontId="0" fillId="0" borderId="4" xfId="26" applyNumberFormat="1" applyFont="1" applyBorder="1" applyAlignment="1" applyProtection="1">
      <alignment vertical="center" wrapText="1"/>
      <protection locked="0"/>
    </xf>
    <xf numFmtId="180" fontId="0" fillId="0" borderId="0" xfId="26" applyNumberFormat="1" applyFont="1" applyBorder="1" applyAlignment="1" applyProtection="1">
      <alignment vertical="center" wrapText="1"/>
      <protection locked="0"/>
    </xf>
    <xf numFmtId="0" fontId="22" fillId="0" borderId="0" xfId="5" applyFont="1" applyAlignment="1" applyProtection="1">
      <alignment vertical="center"/>
      <protection locked="0"/>
    </xf>
    <xf numFmtId="0" fontId="25" fillId="0" borderId="0" xfId="0" applyFont="1" applyAlignment="1" applyProtection="1">
      <alignment horizontal="left" vertical="center" wrapText="1"/>
      <protection hidden="1"/>
    </xf>
    <xf numFmtId="0" fontId="14" fillId="0" borderId="13" xfId="0" applyFont="1" applyBorder="1"/>
    <xf numFmtId="0" fontId="66" fillId="0" borderId="13" xfId="0" applyFont="1" applyBorder="1"/>
    <xf numFmtId="9" fontId="66" fillId="0" borderId="0" xfId="2" applyFont="1"/>
    <xf numFmtId="0" fontId="109" fillId="14" borderId="4" xfId="34" applyFont="1" applyFill="1" applyBorder="1" applyAlignment="1" applyProtection="1">
      <alignment horizontal="center" vertical="center"/>
      <protection hidden="1"/>
    </xf>
    <xf numFmtId="10" fontId="109" fillId="14" borderId="22" xfId="34" applyNumberFormat="1" applyFont="1" applyFill="1" applyBorder="1" applyAlignment="1" applyProtection="1">
      <alignment horizontal="center" vertical="center"/>
      <protection hidden="1"/>
    </xf>
    <xf numFmtId="10" fontId="109" fillId="14" borderId="143" xfId="34" applyNumberFormat="1" applyFont="1" applyFill="1" applyBorder="1" applyAlignment="1" applyProtection="1">
      <alignment horizontal="center" vertical="center"/>
      <protection hidden="1"/>
    </xf>
    <xf numFmtId="10" fontId="66" fillId="0" borderId="0" xfId="2" applyNumberFormat="1" applyFont="1"/>
    <xf numFmtId="9" fontId="28" fillId="15" borderId="22" xfId="7" applyFont="1" applyFill="1" applyBorder="1" applyAlignment="1" applyProtection="1">
      <alignment horizontal="center" vertical="center" wrapText="1"/>
      <protection hidden="1"/>
    </xf>
    <xf numFmtId="10" fontId="163" fillId="0" borderId="0" xfId="2" applyNumberFormat="1" applyFont="1"/>
    <xf numFmtId="175" fontId="28" fillId="10" borderId="143" xfId="24" applyNumberFormat="1" applyFont="1" applyFill="1" applyBorder="1" applyAlignment="1" applyProtection="1">
      <alignment horizontal="center" vertical="center"/>
      <protection hidden="1"/>
    </xf>
    <xf numFmtId="0" fontId="109" fillId="0" borderId="102" xfId="5" applyFont="1" applyBorder="1" applyAlignment="1" applyProtection="1">
      <alignment horizontal="center" vertical="center" wrapText="1"/>
      <protection hidden="1"/>
    </xf>
    <xf numFmtId="0" fontId="109" fillId="0" borderId="0" xfId="5" applyFont="1" applyAlignment="1" applyProtection="1">
      <alignment horizontal="center" vertical="center" wrapText="1"/>
      <protection hidden="1"/>
    </xf>
    <xf numFmtId="9" fontId="109" fillId="0" borderId="46" xfId="5" applyNumberFormat="1" applyFont="1" applyBorder="1" applyAlignment="1" applyProtection="1">
      <alignment horizontal="center" vertical="center" wrapText="1"/>
      <protection hidden="1"/>
    </xf>
    <xf numFmtId="0" fontId="133" fillId="0" borderId="0" xfId="5" applyFont="1" applyAlignment="1" applyProtection="1">
      <alignment horizontal="center" vertical="center" wrapText="1"/>
      <protection hidden="1"/>
    </xf>
    <xf numFmtId="172" fontId="43" fillId="0" borderId="0" xfId="24" applyNumberFormat="1" applyFont="1" applyFill="1" applyBorder="1" applyAlignment="1" applyProtection="1">
      <alignment horizontal="center" vertical="center"/>
      <protection hidden="1"/>
    </xf>
    <xf numFmtId="175" fontId="27" fillId="0" borderId="0" xfId="7" applyNumberFormat="1" applyFont="1" applyFill="1" applyBorder="1" applyAlignment="1" applyProtection="1">
      <alignment horizontal="center" vertical="center"/>
      <protection hidden="1"/>
    </xf>
    <xf numFmtId="175" fontId="114" fillId="0" borderId="0" xfId="5" applyNumberFormat="1" applyFont="1" applyAlignment="1" applyProtection="1">
      <alignment horizontal="center" vertical="center"/>
      <protection hidden="1"/>
    </xf>
    <xf numFmtId="0" fontId="51" fillId="0" borderId="0" xfId="5" applyFont="1" applyAlignment="1" applyProtection="1">
      <alignment horizontal="center" vertical="center"/>
      <protection hidden="1"/>
    </xf>
    <xf numFmtId="175" fontId="28" fillId="10" borderId="23" xfId="24" applyNumberFormat="1" applyFont="1" applyFill="1" applyBorder="1" applyAlignment="1" applyProtection="1">
      <alignment horizontal="center" vertical="center" wrapText="1"/>
      <protection hidden="1"/>
    </xf>
    <xf numFmtId="0" fontId="109" fillId="59" borderId="102" xfId="5" applyFont="1" applyFill="1" applyBorder="1" applyAlignment="1" applyProtection="1">
      <alignment horizontal="center" vertical="center" wrapText="1"/>
      <protection hidden="1"/>
    </xf>
    <xf numFmtId="175" fontId="28" fillId="5" borderId="12" xfId="7" applyNumberFormat="1" applyFont="1" applyFill="1" applyBorder="1" applyAlignment="1" applyProtection="1">
      <alignment horizontal="center" vertical="center"/>
      <protection locked="0"/>
    </xf>
    <xf numFmtId="175" fontId="28" fillId="10" borderId="23" xfId="24" applyNumberFormat="1" applyFont="1" applyFill="1" applyBorder="1" applyAlignment="1" applyProtection="1">
      <alignment horizontal="center" vertical="center"/>
      <protection hidden="1"/>
    </xf>
    <xf numFmtId="0" fontId="14" fillId="0" borderId="0" xfId="5" applyFont="1" applyAlignment="1" applyProtection="1">
      <alignment horizontal="center" vertical="center"/>
      <protection hidden="1"/>
    </xf>
    <xf numFmtId="0" fontId="164" fillId="0" borderId="0" xfId="5" applyFont="1" applyProtection="1">
      <protection locked="0"/>
    </xf>
    <xf numFmtId="0" fontId="165" fillId="0" borderId="0" xfId="5" applyFont="1" applyAlignment="1">
      <alignment horizontal="left" vertical="center" wrapText="1"/>
    </xf>
    <xf numFmtId="0" fontId="20" fillId="0" borderId="0" xfId="5" applyFont="1" applyProtection="1">
      <protection locked="0"/>
    </xf>
    <xf numFmtId="0" fontId="20" fillId="0" borderId="0" xfId="5" applyFont="1" applyAlignment="1" applyProtection="1">
      <alignment horizontal="center"/>
      <protection locked="0"/>
    </xf>
    <xf numFmtId="10" fontId="20" fillId="0" borderId="0" xfId="5" applyNumberFormat="1" applyFont="1" applyProtection="1">
      <protection locked="0"/>
    </xf>
    <xf numFmtId="9" fontId="20" fillId="0" borderId="0" xfId="5" applyNumberFormat="1" applyFont="1" applyProtection="1">
      <protection locked="0"/>
    </xf>
    <xf numFmtId="0" fontId="20" fillId="0" borderId="0" xfId="5" applyFont="1" applyAlignment="1" applyProtection="1">
      <alignment vertical="center"/>
      <protection locked="0"/>
    </xf>
    <xf numFmtId="0" fontId="19" fillId="0" borderId="0" xfId="5" applyFont="1" applyAlignment="1" applyProtection="1">
      <alignment horizontal="center"/>
      <protection locked="0"/>
    </xf>
    <xf numFmtId="10" fontId="164" fillId="0" borderId="0" xfId="5" applyNumberFormat="1" applyFont="1" applyProtection="1">
      <protection locked="0"/>
    </xf>
    <xf numFmtId="9" fontId="164" fillId="0" borderId="0" xfId="5" applyNumberFormat="1" applyFont="1" applyProtection="1">
      <protection locked="0"/>
    </xf>
    <xf numFmtId="0" fontId="47" fillId="0" borderId="0" xfId="5" applyFont="1" applyProtection="1">
      <protection locked="0"/>
    </xf>
    <xf numFmtId="0" fontId="19" fillId="0" borderId="0" xfId="0" applyFont="1" applyAlignment="1" applyProtection="1">
      <alignment horizontal="left" vertical="center"/>
      <protection hidden="1"/>
    </xf>
    <xf numFmtId="0" fontId="8" fillId="0" borderId="0" xfId="9"/>
    <xf numFmtId="0" fontId="65" fillId="0" borderId="33" xfId="5" applyFont="1" applyBorder="1" applyAlignment="1">
      <alignment vertical="center" wrapText="1"/>
    </xf>
    <xf numFmtId="0" fontId="28" fillId="36" borderId="4" xfId="5" applyFont="1" applyFill="1" applyBorder="1" applyAlignment="1">
      <alignment horizontal="center" vertical="center" wrapText="1"/>
    </xf>
    <xf numFmtId="9" fontId="116" fillId="68" borderId="4" xfId="7" applyFont="1" applyFill="1" applyBorder="1" applyAlignment="1" applyProtection="1">
      <alignment horizontal="center" vertical="center"/>
    </xf>
    <xf numFmtId="175" fontId="109" fillId="34" borderId="4" xfId="7" applyNumberFormat="1" applyFont="1" applyFill="1" applyBorder="1" applyAlignment="1" applyProtection="1">
      <alignment horizontal="center" vertical="center"/>
    </xf>
    <xf numFmtId="0" fontId="28" fillId="55" borderId="62" xfId="9" applyFont="1" applyFill="1" applyBorder="1" applyAlignment="1" applyProtection="1">
      <alignment horizontal="center" vertical="center" wrapText="1"/>
      <protection hidden="1"/>
    </xf>
    <xf numFmtId="0" fontId="28" fillId="55" borderId="4" xfId="9" applyFont="1" applyFill="1" applyBorder="1" applyAlignment="1" applyProtection="1">
      <alignment horizontal="center" vertical="center" wrapText="1"/>
      <protection hidden="1"/>
    </xf>
    <xf numFmtId="1" fontId="29" fillId="16" borderId="62" xfId="6" applyNumberFormat="1" applyFont="1" applyFill="1" applyBorder="1" applyAlignment="1">
      <alignment horizontal="center" vertical="center"/>
    </xf>
    <xf numFmtId="175" fontId="11" fillId="5" borderId="4" xfId="2" applyNumberFormat="1" applyFont="1" applyFill="1" applyBorder="1" applyAlignment="1" applyProtection="1">
      <alignment horizontal="center" vertical="center"/>
      <protection locked="0"/>
    </xf>
    <xf numFmtId="175" fontId="11" fillId="68" borderId="4" xfId="7" applyNumberFormat="1" applyFont="1" applyFill="1" applyBorder="1" applyAlignment="1">
      <alignment horizontal="center" vertical="center"/>
    </xf>
    <xf numFmtId="1" fontId="29" fillId="44" borderId="62" xfId="6" applyNumberFormat="1" applyFont="1" applyFill="1" applyBorder="1" applyAlignment="1">
      <alignment horizontal="center" vertical="center"/>
    </xf>
    <xf numFmtId="0" fontId="109" fillId="69" borderId="4" xfId="9" applyFont="1" applyFill="1" applyBorder="1" applyAlignment="1">
      <alignment horizontal="center" vertical="center"/>
    </xf>
    <xf numFmtId="9" fontId="109" fillId="69" borderId="4" xfId="7" applyFont="1" applyFill="1" applyBorder="1" applyAlignment="1" applyProtection="1">
      <alignment horizontal="center" vertical="center"/>
    </xf>
    <xf numFmtId="175" fontId="109" fillId="69" borderId="4" xfId="9" applyNumberFormat="1" applyFont="1" applyFill="1" applyBorder="1" applyAlignment="1">
      <alignment horizontal="center" vertical="center"/>
    </xf>
    <xf numFmtId="0" fontId="28" fillId="62" borderId="74" xfId="5" applyFont="1" applyFill="1" applyBorder="1" applyAlignment="1">
      <alignment horizontal="center" vertical="center" wrapText="1"/>
    </xf>
    <xf numFmtId="0" fontId="109" fillId="62" borderId="14" xfId="5" applyFont="1" applyFill="1" applyBorder="1" applyAlignment="1">
      <alignment horizontal="center"/>
    </xf>
    <xf numFmtId="0" fontId="109" fillId="62" borderId="0" xfId="5" applyFont="1" applyFill="1" applyAlignment="1">
      <alignment horizontal="center"/>
    </xf>
    <xf numFmtId="175" fontId="109" fillId="0" borderId="0" xfId="7" applyNumberFormat="1" applyFont="1" applyFill="1" applyBorder="1" applyAlignment="1" applyProtection="1">
      <alignment horizontal="center" vertical="center"/>
    </xf>
    <xf numFmtId="0" fontId="28" fillId="62" borderId="62" xfId="5" applyFont="1" applyFill="1" applyBorder="1" applyAlignment="1">
      <alignment horizontal="center" vertical="center" wrapText="1"/>
    </xf>
    <xf numFmtId="0" fontId="109" fillId="62" borderId="4" xfId="5" applyFont="1" applyFill="1" applyBorder="1" applyAlignment="1">
      <alignment horizontal="center"/>
    </xf>
    <xf numFmtId="0" fontId="109" fillId="0" borderId="0" xfId="5" applyFont="1" applyAlignment="1">
      <alignment horizontal="center"/>
    </xf>
    <xf numFmtId="0" fontId="116" fillId="0" borderId="0" xfId="9" applyFont="1"/>
    <xf numFmtId="0" fontId="28" fillId="30" borderId="65" xfId="5" applyFont="1" applyFill="1" applyBorder="1" applyAlignment="1">
      <alignment horizontal="center" vertical="center" wrapText="1"/>
    </xf>
    <xf numFmtId="43" fontId="109" fillId="30" borderId="69" xfId="18" applyFont="1" applyFill="1" applyBorder="1" applyAlignment="1">
      <alignment horizontal="center"/>
    </xf>
    <xf numFmtId="43" fontId="109" fillId="30" borderId="0" xfId="18" applyFont="1" applyFill="1" applyBorder="1" applyAlignment="1">
      <alignment horizontal="center"/>
    </xf>
    <xf numFmtId="0" fontId="148" fillId="0" borderId="0" xfId="5" applyFont="1" applyAlignment="1">
      <alignment horizontal="center"/>
    </xf>
    <xf numFmtId="0" fontId="53" fillId="53" borderId="0" xfId="5" applyFont="1" applyFill="1" applyProtection="1">
      <protection locked="0"/>
    </xf>
    <xf numFmtId="0" fontId="35" fillId="13" borderId="142" xfId="33" applyFont="1" applyFill="1" applyBorder="1" applyAlignment="1">
      <alignment horizontal="center" vertical="center" wrapText="1"/>
    </xf>
    <xf numFmtId="0" fontId="35" fillId="13" borderId="24" xfId="33" applyFont="1" applyFill="1" applyBorder="1" applyAlignment="1">
      <alignment horizontal="center" vertical="center" wrapText="1"/>
    </xf>
    <xf numFmtId="0" fontId="10" fillId="36" borderId="99" xfId="5" applyFont="1" applyFill="1" applyBorder="1" applyAlignment="1">
      <alignment horizontal="center" vertical="center" wrapText="1"/>
    </xf>
    <xf numFmtId="0" fontId="10" fillId="36" borderId="4" xfId="5" applyFont="1" applyFill="1" applyBorder="1" applyAlignment="1">
      <alignment horizontal="center" vertical="center" wrapText="1"/>
    </xf>
    <xf numFmtId="0" fontId="5" fillId="20" borderId="4" xfId="5" applyFont="1" applyFill="1" applyBorder="1" applyAlignment="1" applyProtection="1">
      <alignment horizontal="center" vertical="center"/>
      <protection locked="0"/>
    </xf>
    <xf numFmtId="0" fontId="21" fillId="0" borderId="0" xfId="0" applyFont="1" applyAlignment="1" applyProtection="1">
      <alignment horizontal="center" vertical="center"/>
      <protection hidden="1"/>
    </xf>
    <xf numFmtId="0" fontId="14" fillId="0" borderId="0" xfId="0" applyFont="1" applyAlignment="1" applyProtection="1">
      <alignment horizontal="right" vertical="center"/>
      <protection locked="0"/>
    </xf>
    <xf numFmtId="0" fontId="51" fillId="64" borderId="101" xfId="0" applyFont="1" applyFill="1" applyBorder="1" applyAlignment="1" applyProtection="1">
      <alignment vertical="center"/>
      <protection hidden="1"/>
    </xf>
    <xf numFmtId="0" fontId="14" fillId="0" borderId="3" xfId="0" applyFont="1" applyBorder="1" applyAlignment="1" applyProtection="1">
      <alignment horizontal="center" vertical="center"/>
      <protection hidden="1"/>
    </xf>
    <xf numFmtId="0" fontId="51" fillId="64" borderId="22" xfId="0" applyFont="1" applyFill="1" applyBorder="1" applyAlignment="1" applyProtection="1">
      <alignment horizontal="center" vertical="center" wrapText="1"/>
      <protection hidden="1"/>
    </xf>
    <xf numFmtId="10" fontId="25" fillId="0" borderId="4" xfId="2" applyNumberFormat="1" applyFont="1" applyBorder="1" applyAlignment="1" applyProtection="1">
      <alignment vertical="center"/>
      <protection hidden="1"/>
    </xf>
    <xf numFmtId="43" fontId="25" fillId="13" borderId="4" xfId="0" applyNumberFormat="1" applyFont="1" applyFill="1" applyBorder="1" applyAlignment="1" applyProtection="1">
      <alignment vertical="center"/>
      <protection hidden="1"/>
    </xf>
    <xf numFmtId="0" fontId="25" fillId="0" borderId="4" xfId="0" applyFont="1" applyBorder="1" applyAlignment="1" applyProtection="1">
      <alignment horizontal="center" vertical="center"/>
      <protection hidden="1"/>
    </xf>
    <xf numFmtId="10" fontId="14" fillId="0" borderId="4" xfId="2" applyNumberFormat="1" applyFont="1" applyBorder="1" applyAlignment="1" applyProtection="1">
      <alignment vertical="center"/>
      <protection hidden="1"/>
    </xf>
    <xf numFmtId="43" fontId="14" fillId="13" borderId="4" xfId="0" applyNumberFormat="1" applyFont="1" applyFill="1" applyBorder="1" applyAlignment="1" applyProtection="1">
      <alignment vertical="center"/>
      <protection hidden="1"/>
    </xf>
    <xf numFmtId="10" fontId="14" fillId="0" borderId="22" xfId="2" applyNumberFormat="1" applyFont="1" applyBorder="1" applyAlignment="1" applyProtection="1">
      <alignment vertical="center"/>
      <protection hidden="1"/>
    </xf>
    <xf numFmtId="43" fontId="14" fillId="13" borderId="22" xfId="0" applyNumberFormat="1" applyFont="1" applyFill="1" applyBorder="1" applyAlignment="1" applyProtection="1">
      <alignment vertical="center"/>
      <protection hidden="1"/>
    </xf>
    <xf numFmtId="10" fontId="25" fillId="0" borderId="11" xfId="2" applyNumberFormat="1" applyFont="1" applyBorder="1" applyAlignment="1" applyProtection="1">
      <alignment vertical="center"/>
      <protection hidden="1"/>
    </xf>
    <xf numFmtId="43" fontId="25" fillId="13" borderId="11" xfId="0" applyNumberFormat="1" applyFont="1" applyFill="1" applyBorder="1" applyAlignment="1" applyProtection="1">
      <alignment vertical="center"/>
      <protection hidden="1"/>
    </xf>
    <xf numFmtId="0" fontId="33" fillId="0" borderId="4" xfId="0" applyFont="1" applyBorder="1" applyAlignment="1">
      <alignment horizontal="left" vertical="center" wrapText="1"/>
    </xf>
    <xf numFmtId="0" fontId="30" fillId="0" borderId="4" xfId="0" applyFont="1" applyBorder="1" applyAlignment="1">
      <alignment vertical="center" wrapText="1"/>
    </xf>
    <xf numFmtId="0" fontId="47" fillId="0" borderId="0" xfId="0" applyFont="1" applyAlignment="1" applyProtection="1">
      <alignment horizontal="left" vertical="center" wrapText="1"/>
      <protection hidden="1"/>
    </xf>
    <xf numFmtId="49" fontId="25" fillId="13" borderId="0" xfId="0" applyNumberFormat="1"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37" fillId="71" borderId="4" xfId="0" applyFont="1" applyFill="1" applyBorder="1" applyAlignment="1">
      <alignment horizontal="center" vertical="center" wrapText="1"/>
    </xf>
    <xf numFmtId="0" fontId="168" fillId="71" borderId="4" xfId="0" applyFont="1" applyFill="1" applyBorder="1" applyAlignment="1">
      <alignment horizontal="center" vertical="center" wrapText="1"/>
    </xf>
    <xf numFmtId="0" fontId="37" fillId="71" borderId="9" xfId="0" applyFont="1" applyFill="1" applyBorder="1" applyAlignment="1">
      <alignment horizontal="center" vertical="center" wrapText="1"/>
    </xf>
    <xf numFmtId="0" fontId="14" fillId="0" borderId="4" xfId="5" applyFont="1" applyBorder="1" applyAlignment="1" applyProtection="1">
      <alignment horizontal="center" vertical="center"/>
      <protection hidden="1"/>
    </xf>
    <xf numFmtId="0" fontId="7" fillId="2" borderId="4" xfId="20" applyBorder="1" applyAlignment="1">
      <alignment horizontal="center" vertical="center"/>
    </xf>
    <xf numFmtId="0" fontId="167" fillId="66" borderId="4" xfId="36" applyBorder="1" applyAlignment="1">
      <alignment horizontal="center" vertical="center"/>
    </xf>
    <xf numFmtId="0" fontId="14" fillId="0" borderId="4" xfId="5" applyFont="1" applyBorder="1" applyProtection="1">
      <protection hidden="1"/>
    </xf>
    <xf numFmtId="0" fontId="57" fillId="3" borderId="4" xfId="35" applyFont="1" applyBorder="1" applyAlignment="1">
      <alignment horizontal="center" vertical="center"/>
    </xf>
    <xf numFmtId="0" fontId="57" fillId="20" borderId="4" xfId="35" applyFont="1" applyFill="1" applyBorder="1" applyAlignment="1">
      <alignment horizontal="center" vertical="center"/>
    </xf>
    <xf numFmtId="0" fontId="167" fillId="66" borderId="4" xfId="36" applyBorder="1" applyAlignment="1">
      <alignment horizontal="center" vertical="center" wrapText="1"/>
    </xf>
    <xf numFmtId="0" fontId="169" fillId="66" borderId="4" xfId="36" applyFont="1" applyBorder="1" applyAlignment="1">
      <alignment horizontal="center" vertical="center"/>
    </xf>
    <xf numFmtId="0" fontId="14" fillId="0" borderId="13" xfId="0" applyFont="1" applyBorder="1" applyAlignment="1" applyProtection="1">
      <alignment horizontal="left" vertical="center"/>
      <protection locked="0"/>
    </xf>
    <xf numFmtId="0" fontId="14" fillId="0" borderId="33" xfId="0" applyFont="1" applyBorder="1" applyAlignment="1" applyProtection="1">
      <alignment horizontal="left" vertical="center"/>
      <protection locked="0"/>
    </xf>
    <xf numFmtId="0" fontId="25" fillId="5" borderId="49" xfId="5" applyFont="1" applyFill="1" applyBorder="1" applyAlignment="1" applyProtection="1">
      <alignment horizontal="center" vertical="center" wrapText="1"/>
      <protection hidden="1"/>
    </xf>
    <xf numFmtId="0" fontId="164" fillId="0" borderId="0" xfId="5" applyFont="1" applyAlignment="1" applyProtection="1">
      <alignment horizontal="center" vertical="center"/>
      <protection locked="0"/>
    </xf>
    <xf numFmtId="0" fontId="170" fillId="2" borderId="4" xfId="20" applyFont="1" applyBorder="1" applyAlignment="1">
      <alignment horizontal="center" vertical="center"/>
    </xf>
    <xf numFmtId="0" fontId="171" fillId="3" borderId="4" xfId="35" applyFont="1" applyBorder="1" applyAlignment="1">
      <alignment horizontal="center" vertical="center"/>
    </xf>
    <xf numFmtId="0" fontId="66" fillId="20" borderId="0" xfId="0" applyFont="1" applyFill="1" applyProtection="1">
      <protection hidden="1"/>
    </xf>
    <xf numFmtId="10" fontId="109" fillId="15" borderId="47" xfId="7" applyNumberFormat="1" applyFont="1" applyFill="1" applyBorder="1" applyAlignment="1" applyProtection="1">
      <alignment horizontal="center" vertical="center"/>
      <protection hidden="1"/>
    </xf>
    <xf numFmtId="10" fontId="116" fillId="36" borderId="129" xfId="7" applyNumberFormat="1" applyFont="1" applyFill="1" applyBorder="1" applyAlignment="1" applyProtection="1">
      <alignment horizontal="center"/>
      <protection hidden="1"/>
    </xf>
    <xf numFmtId="9" fontId="25" fillId="0" borderId="138" xfId="2" applyFont="1" applyFill="1" applyBorder="1" applyAlignment="1" applyProtection="1">
      <alignment horizontal="center" vertical="center"/>
      <protection hidden="1"/>
    </xf>
    <xf numFmtId="9" fontId="150" fillId="0" borderId="100" xfId="2" applyFont="1" applyBorder="1" applyAlignment="1">
      <alignment horizontal="center" vertical="center" wrapText="1"/>
    </xf>
    <xf numFmtId="187" fontId="14" fillId="25" borderId="4" xfId="2" applyNumberFormat="1" applyFont="1" applyFill="1" applyBorder="1" applyAlignment="1" applyProtection="1">
      <alignment horizontal="center" vertical="center"/>
      <protection hidden="1"/>
    </xf>
    <xf numFmtId="188" fontId="14" fillId="25" borderId="4" xfId="19" applyNumberFormat="1" applyFont="1" applyFill="1" applyBorder="1" applyAlignment="1" applyProtection="1">
      <alignment horizontal="center" vertical="center"/>
      <protection hidden="1"/>
    </xf>
    <xf numFmtId="9" fontId="14" fillId="25" borderId="4" xfId="2" applyFont="1" applyFill="1" applyBorder="1" applyAlignment="1" applyProtection="1">
      <alignment horizontal="center" vertical="center"/>
      <protection hidden="1"/>
    </xf>
    <xf numFmtId="9" fontId="14" fillId="16" borderId="4" xfId="2" applyFont="1" applyFill="1" applyBorder="1" applyAlignment="1" applyProtection="1">
      <alignment horizontal="center" vertical="center"/>
      <protection hidden="1"/>
    </xf>
    <xf numFmtId="9" fontId="14" fillId="15" borderId="4" xfId="2" applyFont="1" applyFill="1" applyBorder="1" applyAlignment="1" applyProtection="1">
      <alignment horizontal="center" vertical="center"/>
      <protection hidden="1"/>
    </xf>
    <xf numFmtId="10" fontId="10" fillId="13" borderId="4" xfId="2" applyNumberFormat="1" applyFont="1" applyFill="1" applyBorder="1" applyAlignment="1" applyProtection="1">
      <alignment horizontal="center" vertical="center" wrapText="1"/>
      <protection hidden="1"/>
    </xf>
    <xf numFmtId="0" fontId="33" fillId="0" borderId="4" xfId="0" applyFont="1" applyBorder="1" applyAlignment="1">
      <alignment horizontal="left" vertical="center"/>
    </xf>
    <xf numFmtId="0" fontId="30" fillId="0" borderId="4" xfId="0" applyFont="1" applyBorder="1" applyAlignment="1">
      <alignment horizontal="left" vertical="center"/>
    </xf>
    <xf numFmtId="0" fontId="33" fillId="0" borderId="4" xfId="0" applyFont="1" applyBorder="1" applyAlignment="1">
      <alignment vertical="center" wrapText="1"/>
    </xf>
    <xf numFmtId="43" fontId="25" fillId="0" borderId="4" xfId="0" applyNumberFormat="1" applyFont="1" applyBorder="1" applyAlignment="1" applyProtection="1">
      <alignment vertical="center"/>
      <protection hidden="1"/>
    </xf>
    <xf numFmtId="43" fontId="14" fillId="0" borderId="4" xfId="0" applyNumberFormat="1" applyFont="1" applyBorder="1" applyAlignment="1" applyProtection="1">
      <alignment vertical="center"/>
      <protection hidden="1"/>
    </xf>
    <xf numFmtId="0" fontId="174" fillId="0" borderId="0" xfId="0" applyFont="1" applyAlignment="1" applyProtection="1">
      <alignment vertical="center"/>
      <protection hidden="1"/>
    </xf>
    <xf numFmtId="0" fontId="175" fillId="13" borderId="0" xfId="0" applyFont="1" applyFill="1" applyAlignment="1" applyProtection="1">
      <alignment vertical="center"/>
      <protection hidden="1"/>
    </xf>
    <xf numFmtId="184" fontId="174" fillId="0" borderId="45" xfId="0" applyNumberFormat="1" applyFont="1" applyBorder="1" applyProtection="1">
      <protection locked="0"/>
    </xf>
    <xf numFmtId="184" fontId="174" fillId="0" borderId="0" xfId="0" applyNumberFormat="1" applyFont="1" applyProtection="1">
      <protection locked="0"/>
    </xf>
    <xf numFmtId="0" fontId="174" fillId="0" borderId="0" xfId="0" applyFont="1" applyAlignment="1" applyProtection="1">
      <alignment horizontal="center"/>
      <protection locked="0"/>
    </xf>
    <xf numFmtId="0" fontId="93" fillId="0" borderId="0" xfId="0" applyFont="1" applyAlignment="1" applyProtection="1">
      <alignment vertical="center"/>
      <protection hidden="1"/>
    </xf>
    <xf numFmtId="0" fontId="176" fillId="0" borderId="0" xfId="0" applyFont="1" applyAlignment="1">
      <alignment horizontal="center" vertical="center"/>
    </xf>
    <xf numFmtId="0" fontId="176" fillId="13" borderId="0" xfId="0" applyFont="1" applyFill="1" applyAlignment="1" applyProtection="1">
      <alignment horizontal="center" vertical="center"/>
      <protection locked="0" hidden="1"/>
    </xf>
    <xf numFmtId="0" fontId="175" fillId="0" borderId="45" xfId="0" applyFont="1" applyBorder="1" applyAlignment="1" applyProtection="1">
      <alignment vertical="center"/>
      <protection hidden="1"/>
    </xf>
    <xf numFmtId="0" fontId="175" fillId="0" borderId="0" xfId="0" applyFont="1" applyAlignment="1" applyProtection="1">
      <alignment vertical="center"/>
      <protection hidden="1"/>
    </xf>
    <xf numFmtId="0" fontId="174" fillId="0" borderId="45" xfId="0" applyFont="1" applyBorder="1" applyAlignment="1" applyProtection="1">
      <alignment vertical="center" wrapText="1"/>
      <protection hidden="1"/>
    </xf>
    <xf numFmtId="0" fontId="177" fillId="0" borderId="0" xfId="0" applyFont="1" applyAlignment="1" applyProtection="1">
      <alignment horizontal="justify" vertical="center" wrapText="1"/>
      <protection hidden="1"/>
    </xf>
    <xf numFmtId="0" fontId="174" fillId="0" borderId="0" xfId="0" applyFont="1" applyAlignment="1" applyProtection="1">
      <alignment vertical="center" wrapText="1"/>
      <protection hidden="1"/>
    </xf>
    <xf numFmtId="0" fontId="174" fillId="0" borderId="0" xfId="0" applyFont="1" applyAlignment="1" applyProtection="1">
      <alignment horizontal="justify" vertical="center" wrapText="1"/>
      <protection hidden="1"/>
    </xf>
    <xf numFmtId="0" fontId="174" fillId="0" borderId="0" xfId="0" applyFont="1" applyAlignment="1">
      <alignment vertical="center"/>
    </xf>
    <xf numFmtId="167" fontId="93" fillId="0" borderId="0" xfId="0" applyNumberFormat="1" applyFont="1"/>
    <xf numFmtId="0" fontId="93" fillId="0" borderId="0" xfId="0" applyFont="1" applyAlignment="1" applyProtection="1">
      <alignment horizontal="center" vertical="center"/>
      <protection hidden="1"/>
    </xf>
    <xf numFmtId="172" fontId="93" fillId="0" borderId="0" xfId="18" applyNumberFormat="1" applyFont="1" applyAlignment="1" applyProtection="1">
      <alignment horizontal="center" vertical="center" wrapText="1"/>
      <protection hidden="1"/>
    </xf>
    <xf numFmtId="43" fontId="174" fillId="0" borderId="0" xfId="18" applyFont="1" applyAlignment="1" applyProtection="1">
      <alignment vertical="center"/>
      <protection hidden="1"/>
    </xf>
    <xf numFmtId="166" fontId="174" fillId="0" borderId="0" xfId="0" applyNumberFormat="1" applyFont="1" applyAlignment="1" applyProtection="1">
      <alignment vertical="center"/>
      <protection hidden="1"/>
    </xf>
    <xf numFmtId="0" fontId="177" fillId="13" borderId="0" xfId="0" applyFont="1" applyFill="1" applyAlignment="1" applyProtection="1">
      <alignment vertical="center"/>
      <protection locked="0" hidden="1"/>
    </xf>
    <xf numFmtId="0" fontId="177" fillId="0" borderId="0" xfId="0" applyFont="1" applyAlignment="1" applyProtection="1">
      <alignment vertical="center"/>
      <protection hidden="1"/>
    </xf>
    <xf numFmtId="0" fontId="174" fillId="0" borderId="0" xfId="0" applyFont="1" applyProtection="1">
      <protection hidden="1"/>
    </xf>
    <xf numFmtId="0" fontId="179" fillId="0" borderId="0" xfId="0" applyFont="1" applyAlignment="1" applyProtection="1">
      <alignment horizontal="justify" vertical="top" wrapText="1"/>
      <protection locked="0"/>
    </xf>
    <xf numFmtId="0" fontId="179" fillId="0" borderId="0" xfId="0" applyFont="1" applyAlignment="1" applyProtection="1">
      <alignment vertical="top" wrapText="1"/>
      <protection locked="0"/>
    </xf>
    <xf numFmtId="0" fontId="174" fillId="0" borderId="0" xfId="0" applyFont="1" applyAlignment="1" applyProtection="1">
      <alignment horizontal="center" vertical="center"/>
      <protection hidden="1"/>
    </xf>
    <xf numFmtId="0" fontId="174" fillId="13" borderId="45" xfId="0" applyFont="1" applyFill="1" applyBorder="1" applyAlignment="1" applyProtection="1">
      <alignment horizontal="right" vertical="top"/>
      <protection hidden="1"/>
    </xf>
    <xf numFmtId="10" fontId="174" fillId="13" borderId="0" xfId="0" applyNumberFormat="1" applyFont="1" applyFill="1" applyAlignment="1" applyProtection="1">
      <alignment horizontal="center" vertical="top"/>
      <protection hidden="1"/>
    </xf>
    <xf numFmtId="9" fontId="174" fillId="13" borderId="0" xfId="0" applyNumberFormat="1" applyFont="1" applyFill="1" applyAlignment="1" applyProtection="1">
      <alignment horizontal="right" vertical="top"/>
      <protection hidden="1"/>
    </xf>
    <xf numFmtId="10" fontId="174" fillId="13" borderId="0" xfId="19" applyNumberFormat="1" applyFont="1" applyFill="1" applyBorder="1" applyAlignment="1" applyProtection="1">
      <alignment horizontal="center" vertical="top"/>
      <protection hidden="1"/>
    </xf>
    <xf numFmtId="10" fontId="174" fillId="13" borderId="0" xfId="19" applyNumberFormat="1" applyFont="1" applyFill="1" applyBorder="1" applyAlignment="1" applyProtection="1">
      <alignment horizontal="right" vertical="top"/>
      <protection hidden="1"/>
    </xf>
    <xf numFmtId="0" fontId="93" fillId="13" borderId="45" xfId="0" applyFont="1" applyFill="1" applyBorder="1" applyAlignment="1" applyProtection="1">
      <alignment horizontal="right" vertical="center"/>
      <protection hidden="1"/>
    </xf>
    <xf numFmtId="165" fontId="93" fillId="13" borderId="0" xfId="0" applyNumberFormat="1" applyFont="1" applyFill="1" applyAlignment="1" applyProtection="1">
      <alignment horizontal="center" vertical="center"/>
      <protection hidden="1"/>
    </xf>
    <xf numFmtId="9" fontId="93" fillId="13" borderId="0" xfId="0" applyNumberFormat="1" applyFont="1" applyFill="1" applyAlignment="1" applyProtection="1">
      <alignment horizontal="right" vertical="center"/>
      <protection hidden="1"/>
    </xf>
    <xf numFmtId="164" fontId="93" fillId="13" borderId="0" xfId="19" applyNumberFormat="1" applyFont="1" applyFill="1" applyBorder="1" applyAlignment="1" applyProtection="1">
      <alignment horizontal="center" vertical="center"/>
      <protection hidden="1"/>
    </xf>
    <xf numFmtId="175" fontId="93" fillId="13" borderId="0" xfId="0" applyNumberFormat="1" applyFont="1" applyFill="1" applyAlignment="1" applyProtection="1">
      <alignment horizontal="center" vertical="center"/>
      <protection hidden="1"/>
    </xf>
    <xf numFmtId="164" fontId="93" fillId="13" borderId="0" xfId="19" applyNumberFormat="1" applyFont="1" applyFill="1" applyBorder="1" applyAlignment="1" applyProtection="1">
      <alignment horizontal="right" vertical="center"/>
      <protection hidden="1"/>
    </xf>
    <xf numFmtId="0" fontId="174" fillId="0" borderId="45" xfId="0" applyFont="1" applyBorder="1" applyAlignment="1" applyProtection="1">
      <alignment horizontal="right" vertical="top"/>
      <protection hidden="1"/>
    </xf>
    <xf numFmtId="10" fontId="174" fillId="0" borderId="0" xfId="0" applyNumberFormat="1" applyFont="1" applyAlignment="1" applyProtection="1">
      <alignment horizontal="center" vertical="top"/>
      <protection hidden="1"/>
    </xf>
    <xf numFmtId="9" fontId="174" fillId="0" borderId="0" xfId="0" applyNumberFormat="1" applyFont="1" applyAlignment="1" applyProtection="1">
      <alignment horizontal="right" vertical="top"/>
      <protection hidden="1"/>
    </xf>
    <xf numFmtId="10" fontId="174" fillId="0" borderId="0" xfId="19" applyNumberFormat="1" applyFont="1" applyBorder="1" applyAlignment="1" applyProtection="1">
      <alignment horizontal="center" vertical="top"/>
      <protection hidden="1"/>
    </xf>
    <xf numFmtId="175" fontId="174" fillId="0" borderId="0" xfId="0" applyNumberFormat="1" applyFont="1" applyAlignment="1" applyProtection="1">
      <alignment horizontal="center" vertical="top"/>
      <protection hidden="1"/>
    </xf>
    <xf numFmtId="10" fontId="174" fillId="0" borderId="0" xfId="19" applyNumberFormat="1" applyFont="1" applyBorder="1" applyAlignment="1" applyProtection="1">
      <alignment horizontal="right" vertical="top"/>
      <protection hidden="1"/>
    </xf>
    <xf numFmtId="0" fontId="93" fillId="0" borderId="45" xfId="0" applyFont="1" applyBorder="1" applyAlignment="1" applyProtection="1">
      <alignment horizontal="right" vertical="center"/>
      <protection hidden="1"/>
    </xf>
    <xf numFmtId="165" fontId="93" fillId="0" borderId="0" xfId="0" applyNumberFormat="1" applyFont="1" applyAlignment="1" applyProtection="1">
      <alignment horizontal="center" vertical="center"/>
      <protection hidden="1"/>
    </xf>
    <xf numFmtId="9" fontId="93" fillId="0" borderId="0" xfId="0" applyNumberFormat="1" applyFont="1" applyAlignment="1" applyProtection="1">
      <alignment horizontal="right" vertical="center"/>
      <protection hidden="1"/>
    </xf>
    <xf numFmtId="164" fontId="93" fillId="0" borderId="0" xfId="19" applyNumberFormat="1" applyFont="1" applyBorder="1" applyAlignment="1" applyProtection="1">
      <alignment horizontal="center" vertical="center"/>
      <protection hidden="1"/>
    </xf>
    <xf numFmtId="175" fontId="93" fillId="0" borderId="0" xfId="0" applyNumberFormat="1" applyFont="1" applyAlignment="1" applyProtection="1">
      <alignment horizontal="center" vertical="center"/>
      <protection hidden="1"/>
    </xf>
    <xf numFmtId="164" fontId="93" fillId="0" borderId="0" xfId="19" applyNumberFormat="1" applyFont="1" applyBorder="1" applyAlignment="1" applyProtection="1">
      <alignment horizontal="right" vertical="center"/>
      <protection hidden="1"/>
    </xf>
    <xf numFmtId="0" fontId="174" fillId="0" borderId="0" xfId="0" applyFont="1"/>
    <xf numFmtId="0" fontId="179" fillId="0" borderId="45" xfId="0" applyFont="1" applyBorder="1" applyAlignment="1" applyProtection="1">
      <alignment vertical="top" wrapText="1"/>
      <protection locked="0"/>
    </xf>
    <xf numFmtId="0" fontId="174" fillId="0" borderId="0" xfId="0" applyFont="1" applyAlignment="1" applyProtection="1">
      <alignment horizontal="center" vertical="center" wrapText="1"/>
      <protection hidden="1"/>
    </xf>
    <xf numFmtId="41" fontId="174" fillId="0" borderId="4" xfId="19" applyFont="1" applyBorder="1" applyAlignment="1" applyProtection="1">
      <protection locked="0"/>
    </xf>
    <xf numFmtId="41" fontId="174" fillId="0" borderId="0" xfId="19" applyFont="1" applyBorder="1" applyAlignment="1" applyProtection="1">
      <protection locked="0"/>
    </xf>
    <xf numFmtId="41" fontId="174" fillId="0" borderId="0" xfId="19" applyFont="1" applyFill="1" applyBorder="1" applyAlignment="1" applyProtection="1"/>
    <xf numFmtId="0" fontId="93" fillId="0" borderId="0" xfId="0" applyFont="1" applyAlignment="1">
      <alignment horizontal="center" vertical="center"/>
    </xf>
    <xf numFmtId="0" fontId="174" fillId="0" borderId="0" xfId="0" applyFont="1" applyProtection="1">
      <protection locked="0"/>
    </xf>
    <xf numFmtId="0" fontId="174" fillId="0" borderId="0" xfId="0" applyFont="1" applyAlignment="1" applyProtection="1">
      <alignment vertical="center"/>
      <protection locked="0"/>
    </xf>
    <xf numFmtId="0" fontId="174" fillId="0" borderId="0" xfId="0" applyFont="1" applyAlignment="1" applyProtection="1">
      <alignment horizontal="center" vertical="center"/>
      <protection locked="0"/>
    </xf>
    <xf numFmtId="0" fontId="174" fillId="13" borderId="0" xfId="0" applyFont="1" applyFill="1" applyProtection="1">
      <protection locked="0"/>
    </xf>
    <xf numFmtId="0" fontId="174" fillId="30" borderId="0" xfId="0" applyFont="1" applyFill="1"/>
    <xf numFmtId="0" fontId="174" fillId="30" borderId="0" xfId="0" applyFont="1" applyFill="1" applyAlignment="1">
      <alignment horizontal="center"/>
    </xf>
    <xf numFmtId="0" fontId="174" fillId="0" borderId="0" xfId="0" applyFont="1" applyAlignment="1">
      <alignment horizontal="center" vertical="center" wrapText="1"/>
    </xf>
    <xf numFmtId="0" fontId="174" fillId="0" borderId="0" xfId="0" applyFont="1" applyAlignment="1">
      <alignment horizontal="center" vertical="center"/>
    </xf>
    <xf numFmtId="0" fontId="10" fillId="0" borderId="0" xfId="0" applyFont="1" applyAlignment="1" applyProtection="1">
      <alignment horizontal="center" vertical="center"/>
      <protection hidden="1"/>
    </xf>
    <xf numFmtId="0" fontId="25" fillId="0" borderId="0" xfId="0" applyFont="1" applyAlignment="1">
      <alignment horizontal="right" vertical="center"/>
    </xf>
    <xf numFmtId="0" fontId="4" fillId="0" borderId="0" xfId="0" applyFont="1" applyProtection="1">
      <protection hidden="1"/>
    </xf>
    <xf numFmtId="0" fontId="19" fillId="0" borderId="0" xfId="0" applyFont="1" applyAlignment="1" applyProtection="1">
      <alignment vertical="center" wrapText="1"/>
      <protection hidden="1"/>
    </xf>
    <xf numFmtId="2" fontId="19" fillId="0" borderId="0" xfId="0" applyNumberFormat="1" applyFont="1" applyAlignment="1" applyProtection="1">
      <alignment vertical="center"/>
      <protection hidden="1"/>
    </xf>
    <xf numFmtId="185" fontId="19" fillId="0" borderId="0" xfId="18" applyNumberFormat="1" applyFont="1" applyAlignment="1" applyProtection="1">
      <alignment vertical="center"/>
      <protection hidden="1"/>
    </xf>
    <xf numFmtId="10" fontId="14" fillId="0" borderId="0" xfId="2" applyNumberFormat="1" applyFont="1" applyAlignment="1" applyProtection="1">
      <alignment vertical="center"/>
      <protection hidden="1"/>
    </xf>
    <xf numFmtId="0" fontId="47" fillId="0" borderId="4" xfId="0" applyFont="1" applyBorder="1" applyProtection="1">
      <protection hidden="1"/>
    </xf>
    <xf numFmtId="0" fontId="47" fillId="0" borderId="4" xfId="0" applyFont="1" applyBorder="1" applyAlignment="1" applyProtection="1">
      <alignment horizontal="right"/>
      <protection hidden="1"/>
    </xf>
    <xf numFmtId="0" fontId="47" fillId="9" borderId="4"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locked="0"/>
    </xf>
    <xf numFmtId="2" fontId="14" fillId="0" borderId="0" xfId="0" applyNumberFormat="1" applyFont="1"/>
    <xf numFmtId="175" fontId="14" fillId="0" borderId="0" xfId="0" applyNumberFormat="1" applyFont="1"/>
    <xf numFmtId="185" fontId="14" fillId="0" borderId="0" xfId="18" applyNumberFormat="1" applyFont="1"/>
    <xf numFmtId="0" fontId="35" fillId="0" borderId="4" xfId="0" applyFont="1" applyBorder="1" applyAlignment="1" applyProtection="1">
      <alignment horizontal="right" vertical="center"/>
      <protection hidden="1"/>
    </xf>
    <xf numFmtId="0" fontId="14" fillId="47" borderId="4" xfId="0" applyFont="1" applyFill="1" applyBorder="1" applyProtection="1">
      <protection locked="0"/>
    </xf>
    <xf numFmtId="0" fontId="47" fillId="0" borderId="0" xfId="0" applyFont="1" applyProtection="1">
      <protection hidden="1"/>
    </xf>
    <xf numFmtId="14" fontId="47" fillId="0" borderId="0" xfId="0" applyNumberFormat="1" applyFont="1" applyAlignment="1" applyProtection="1">
      <alignment horizontal="justify"/>
      <protection hidden="1"/>
    </xf>
    <xf numFmtId="0" fontId="35" fillId="0" borderId="0" xfId="0" applyFont="1" applyAlignment="1" applyProtection="1">
      <alignment horizontal="right" vertical="center"/>
      <protection hidden="1"/>
    </xf>
    <xf numFmtId="14" fontId="25" fillId="0" borderId="0" xfId="0" applyNumberFormat="1" applyFont="1" applyAlignment="1" applyProtection="1">
      <alignment horizontal="center" vertical="center"/>
      <protection hidden="1"/>
    </xf>
    <xf numFmtId="10" fontId="51" fillId="0" borderId="0" xfId="2" applyNumberFormat="1" applyFont="1" applyFill="1" applyBorder="1" applyAlignment="1" applyProtection="1">
      <alignment horizontal="right" vertical="center"/>
      <protection hidden="1"/>
    </xf>
    <xf numFmtId="0" fontId="14" fillId="13" borderId="0" xfId="0" applyFont="1" applyFill="1" applyAlignment="1" applyProtection="1">
      <alignment wrapText="1"/>
      <protection locked="0"/>
    </xf>
    <xf numFmtId="0" fontId="4" fillId="13" borderId="0" xfId="0" applyFont="1" applyFill="1" applyAlignment="1" applyProtection="1">
      <alignment wrapText="1"/>
      <protection locked="0"/>
    </xf>
    <xf numFmtId="0" fontId="10" fillId="13" borderId="33" xfId="16" applyFont="1" applyFill="1" applyBorder="1" applyAlignment="1" applyProtection="1">
      <alignment horizontal="center" vertical="center" wrapText="1"/>
      <protection locked="0"/>
    </xf>
    <xf numFmtId="0" fontId="10" fillId="13" borderId="0" xfId="16" applyFont="1" applyFill="1" applyBorder="1" applyAlignment="1" applyProtection="1">
      <alignment horizontal="center" vertical="center" wrapText="1"/>
      <protection locked="0"/>
    </xf>
    <xf numFmtId="175" fontId="25" fillId="67" borderId="4" xfId="2" applyNumberFormat="1" applyFont="1" applyFill="1" applyBorder="1" applyAlignment="1" applyProtection="1">
      <alignment horizontal="left" vertical="center" wrapText="1"/>
      <protection hidden="1"/>
    </xf>
    <xf numFmtId="0" fontId="4" fillId="13" borderId="0" xfId="0" applyFont="1" applyFill="1" applyAlignment="1" applyProtection="1">
      <alignment horizontal="center" vertical="center" wrapText="1"/>
      <protection locked="0"/>
    </xf>
    <xf numFmtId="0" fontId="14" fillId="13" borderId="0" xfId="0" applyFont="1" applyFill="1" applyAlignment="1" applyProtection="1">
      <alignment horizontal="center" vertical="center" wrapText="1"/>
      <protection locked="0"/>
    </xf>
    <xf numFmtId="186" fontId="14" fillId="13" borderId="0" xfId="0" applyNumberFormat="1" applyFont="1" applyFill="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4" fillId="12" borderId="9" xfId="0" applyFont="1" applyFill="1" applyBorder="1" applyAlignment="1" applyProtection="1">
      <alignment horizontal="center" vertical="center" wrapText="1"/>
      <protection locked="0"/>
    </xf>
    <xf numFmtId="0" fontId="4" fillId="12" borderId="4" xfId="0" applyFont="1" applyFill="1" applyBorder="1" applyAlignment="1" applyProtection="1">
      <alignment horizontal="center" vertical="center" wrapText="1"/>
      <protection locked="0"/>
    </xf>
    <xf numFmtId="171" fontId="14" fillId="13" borderId="0" xfId="0" applyNumberFormat="1" applyFont="1" applyFill="1" applyAlignment="1" applyProtection="1">
      <alignment horizontal="center" vertical="center" wrapText="1"/>
      <protection locked="0"/>
    </xf>
    <xf numFmtId="0" fontId="4" fillId="48" borderId="9" xfId="0" applyFont="1" applyFill="1" applyBorder="1" applyAlignment="1" applyProtection="1">
      <alignment horizontal="center" vertical="center" wrapText="1"/>
      <protection locked="0"/>
    </xf>
    <xf numFmtId="0" fontId="4" fillId="48" borderId="4"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49" borderId="9" xfId="0" applyFont="1" applyFill="1" applyBorder="1" applyAlignment="1" applyProtection="1">
      <alignment horizontal="center" vertical="center" wrapText="1"/>
      <protection locked="0"/>
    </xf>
    <xf numFmtId="0" fontId="4" fillId="49" borderId="4" xfId="0" applyFont="1" applyFill="1" applyBorder="1" applyAlignment="1" applyProtection="1">
      <alignment horizontal="center" vertical="center" wrapText="1"/>
      <protection locked="0"/>
    </xf>
    <xf numFmtId="0" fontId="4" fillId="0" borderId="4"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4" fillId="0" borderId="4"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3" fontId="14" fillId="13" borderId="0" xfId="0" applyNumberFormat="1" applyFont="1" applyFill="1" applyAlignment="1" applyProtection="1">
      <alignment horizontal="center" vertical="center" wrapText="1"/>
      <protection locked="0"/>
    </xf>
    <xf numFmtId="0" fontId="4" fillId="13"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horizontal="left" vertical="center" wrapText="1"/>
      <protection locked="0"/>
    </xf>
    <xf numFmtId="0" fontId="9" fillId="13" borderId="21" xfId="0" applyFont="1" applyFill="1" applyBorder="1" applyAlignment="1" applyProtection="1">
      <alignment horizontal="justify" vertical="center"/>
      <protection locked="0"/>
    </xf>
    <xf numFmtId="0" fontId="9" fillId="49" borderId="21" xfId="28" applyFill="1" applyBorder="1" applyAlignment="1" applyProtection="1">
      <alignment horizontal="justify" vertical="center" wrapText="1"/>
      <protection locked="0"/>
    </xf>
    <xf numFmtId="0" fontId="9" fillId="13" borderId="21" xfId="28" applyFill="1" applyBorder="1" applyAlignment="1" applyProtection="1">
      <alignment horizontal="justify" vertical="center" wrapText="1"/>
      <protection locked="0"/>
    </xf>
    <xf numFmtId="0" fontId="9" fillId="50" borderId="21" xfId="28" applyFill="1" applyBorder="1" applyAlignment="1" applyProtection="1">
      <alignment horizontal="justify" vertical="center" wrapText="1"/>
      <protection locked="0"/>
    </xf>
    <xf numFmtId="0" fontId="54" fillId="13" borderId="21" xfId="28" applyFont="1" applyFill="1" applyBorder="1" applyAlignment="1" applyProtection="1">
      <alignment horizontal="justify" vertical="center" wrapText="1"/>
      <protection locked="0"/>
    </xf>
    <xf numFmtId="0" fontId="4" fillId="0" borderId="46" xfId="0" applyFont="1" applyBorder="1" applyAlignment="1" applyProtection="1">
      <alignment horizontal="center" vertical="center" wrapText="1"/>
      <protection locked="0"/>
    </xf>
    <xf numFmtId="3" fontId="123" fillId="0" borderId="21" xfId="29" applyNumberFormat="1" applyFont="1" applyBorder="1" applyAlignment="1" applyProtection="1">
      <alignment horizontal="center" vertical="center" wrapText="1"/>
      <protection locked="0"/>
    </xf>
    <xf numFmtId="0" fontId="123" fillId="13" borderId="21" xfId="30" applyFont="1" applyFill="1" applyBorder="1" applyAlignment="1" applyProtection="1">
      <alignment horizontal="center" vertical="center" wrapText="1"/>
      <protection locked="0"/>
    </xf>
    <xf numFmtId="49" fontId="123" fillId="13" borderId="21" xfId="30" applyNumberFormat="1" applyFont="1" applyFill="1" applyBorder="1" applyAlignment="1" applyProtection="1">
      <alignment horizontal="center" vertical="center" wrapText="1"/>
      <protection locked="0"/>
    </xf>
    <xf numFmtId="49" fontId="123" fillId="13" borderId="96" xfId="30" applyNumberFormat="1" applyFont="1" applyFill="1" applyBorder="1" applyAlignment="1" applyProtection="1">
      <alignment horizontal="center" vertical="center" wrapText="1"/>
      <protection locked="0"/>
    </xf>
    <xf numFmtId="49" fontId="123" fillId="13" borderId="157" xfId="30" applyNumberFormat="1" applyFont="1" applyFill="1" applyBorder="1" applyAlignment="1" applyProtection="1">
      <alignment horizontal="center" vertical="center" wrapText="1"/>
      <protection locked="0"/>
    </xf>
    <xf numFmtId="9" fontId="4" fillId="13" borderId="21" xfId="31" applyFont="1" applyFill="1" applyBorder="1" applyAlignment="1" applyProtection="1">
      <alignment horizontal="right" vertical="center" wrapText="1"/>
      <protection locked="0"/>
    </xf>
    <xf numFmtId="9" fontId="4" fillId="0" borderId="21" xfId="31" applyFont="1" applyBorder="1" applyAlignment="1" applyProtection="1">
      <alignment horizontal="right" vertical="center" wrapText="1"/>
      <protection locked="0"/>
    </xf>
    <xf numFmtId="0" fontId="47" fillId="51" borderId="21" xfId="0" applyFont="1" applyFill="1" applyBorder="1" applyAlignment="1" applyProtection="1">
      <alignment horizontal="justify" vertical="top" wrapText="1"/>
      <protection locked="0"/>
    </xf>
    <xf numFmtId="0" fontId="47" fillId="13" borderId="21" xfId="0" applyFont="1" applyFill="1" applyBorder="1" applyAlignment="1" applyProtection="1">
      <alignment horizontal="justify" vertical="top" wrapText="1"/>
      <protection locked="0"/>
    </xf>
    <xf numFmtId="0" fontId="53" fillId="0" borderId="21" xfId="28" applyFont="1" applyBorder="1" applyAlignment="1" applyProtection="1">
      <alignment horizontal="justify" vertical="top" wrapText="1"/>
      <protection locked="0"/>
    </xf>
    <xf numFmtId="0" fontId="9" fillId="13" borderId="21" xfId="0" applyFont="1" applyFill="1" applyBorder="1" applyAlignment="1" applyProtection="1">
      <alignment horizontal="justify" vertical="top"/>
      <protection locked="0"/>
    </xf>
    <xf numFmtId="0" fontId="53" fillId="13" borderId="21" xfId="28" applyFont="1" applyFill="1" applyBorder="1" applyAlignment="1" applyProtection="1">
      <alignment horizontal="justify" vertical="center" wrapText="1"/>
      <protection locked="0"/>
    </xf>
    <xf numFmtId="0" fontId="53" fillId="51" borderId="21" xfId="28" applyFont="1" applyFill="1" applyBorder="1" applyAlignment="1" applyProtection="1">
      <alignment horizontal="justify" vertical="center" wrapText="1"/>
      <protection locked="0"/>
    </xf>
    <xf numFmtId="0" fontId="9" fillId="0" borderId="21" xfId="28" applyBorder="1" applyAlignment="1" applyProtection="1">
      <alignment horizontal="justify" vertical="center" wrapText="1"/>
      <protection locked="0"/>
    </xf>
    <xf numFmtId="0" fontId="4" fillId="0" borderId="20" xfId="0" applyFont="1" applyBorder="1" applyAlignment="1" applyProtection="1">
      <alignment vertical="center" wrapText="1"/>
      <protection locked="0"/>
    </xf>
    <xf numFmtId="0" fontId="4" fillId="0" borderId="94" xfId="0" applyFont="1" applyBorder="1" applyAlignment="1" applyProtection="1">
      <alignment vertical="center" wrapText="1"/>
      <protection locked="0"/>
    </xf>
    <xf numFmtId="0" fontId="4" fillId="0" borderId="0" xfId="0" applyFont="1" applyAlignment="1" applyProtection="1">
      <alignment vertical="center" wrapText="1"/>
      <protection locked="0"/>
    </xf>
    <xf numFmtId="2" fontId="4" fillId="0" borderId="0" xfId="0" applyNumberFormat="1" applyFont="1" applyAlignment="1" applyProtection="1">
      <alignment horizontal="center" vertical="center" wrapText="1"/>
      <protection locked="0"/>
    </xf>
    <xf numFmtId="179" fontId="14" fillId="0" borderId="0" xfId="0" applyNumberFormat="1"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2" fontId="14" fillId="0" borderId="0" xfId="0" applyNumberFormat="1" applyFont="1" applyAlignment="1" applyProtection="1">
      <alignment vertical="center" wrapText="1"/>
      <protection locked="0"/>
    </xf>
    <xf numFmtId="185" fontId="14" fillId="0" borderId="0" xfId="18" applyNumberFormat="1" applyFont="1" applyAlignment="1" applyProtection="1">
      <alignment horizontal="center" vertical="center" wrapText="1"/>
      <protection locked="0"/>
    </xf>
    <xf numFmtId="185" fontId="14" fillId="0" borderId="0" xfId="18" applyNumberFormat="1" applyFont="1" applyAlignment="1" applyProtection="1">
      <alignment vertical="center" wrapText="1"/>
      <protection locked="0"/>
    </xf>
    <xf numFmtId="0" fontId="25" fillId="0" borderId="4"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184" fontId="14" fillId="0" borderId="4" xfId="0" applyNumberFormat="1" applyFont="1" applyBorder="1" applyAlignment="1" applyProtection="1">
      <alignment vertical="center"/>
      <protection locked="0"/>
    </xf>
    <xf numFmtId="184" fontId="14" fillId="0" borderId="0" xfId="0" applyNumberFormat="1" applyFont="1" applyAlignment="1" applyProtection="1">
      <alignment vertical="center"/>
      <protection locked="0"/>
    </xf>
    <xf numFmtId="0" fontId="47" fillId="52" borderId="89" xfId="0" applyFont="1" applyFill="1" applyBorder="1"/>
    <xf numFmtId="0" fontId="14" fillId="20" borderId="0" xfId="0" applyFont="1" applyFill="1" applyAlignment="1" applyProtection="1">
      <alignment horizontal="center" vertical="center" wrapText="1"/>
      <protection locked="0"/>
    </xf>
    <xf numFmtId="0" fontId="4" fillId="20" borderId="0" xfId="0" applyFont="1" applyFill="1" applyAlignment="1" applyProtection="1">
      <alignment horizontal="center" vertical="center" wrapText="1"/>
      <protection locked="0"/>
    </xf>
    <xf numFmtId="2" fontId="4" fillId="20" borderId="0" xfId="0" applyNumberFormat="1" applyFont="1" applyFill="1" applyAlignment="1" applyProtection="1">
      <alignment horizontal="center" vertical="center" wrapText="1"/>
      <protection locked="0"/>
    </xf>
    <xf numFmtId="2" fontId="14" fillId="20" borderId="0" xfId="0" applyNumberFormat="1" applyFont="1" applyFill="1" applyAlignment="1" applyProtection="1">
      <alignment vertical="center" wrapText="1"/>
      <protection locked="0"/>
    </xf>
    <xf numFmtId="185" fontId="14" fillId="20" borderId="0" xfId="18" applyNumberFormat="1" applyFont="1" applyFill="1" applyAlignment="1" applyProtection="1">
      <alignment vertical="center" wrapText="1"/>
      <protection locked="0"/>
    </xf>
    <xf numFmtId="0" fontId="14" fillId="20" borderId="0" xfId="0" applyFont="1" applyFill="1" applyAlignment="1" applyProtection="1">
      <alignment wrapText="1"/>
      <protection locked="0"/>
    </xf>
    <xf numFmtId="0" fontId="47" fillId="20" borderId="89" xfId="0" applyFont="1" applyFill="1" applyBorder="1"/>
    <xf numFmtId="189" fontId="25" fillId="0" borderId="4" xfId="0" applyNumberFormat="1" applyFont="1" applyBorder="1" applyAlignment="1">
      <alignment horizontal="center" vertical="center" wrapText="1"/>
    </xf>
    <xf numFmtId="189" fontId="25" fillId="0" borderId="4" xfId="27" applyNumberFormat="1" applyFont="1" applyBorder="1" applyAlignment="1" applyProtection="1">
      <alignment horizontal="center" vertical="center" wrapText="1"/>
    </xf>
    <xf numFmtId="14" fontId="47" fillId="0" borderId="154" xfId="0" applyNumberFormat="1" applyFont="1" applyBorder="1" applyAlignment="1" applyProtection="1">
      <alignment horizontal="justify"/>
      <protection hidden="1"/>
    </xf>
    <xf numFmtId="0" fontId="22" fillId="30" borderId="54" xfId="0" applyFont="1" applyFill="1" applyBorder="1" applyAlignment="1" applyProtection="1">
      <alignment horizontal="center" vertical="center" wrapText="1"/>
      <protection hidden="1"/>
    </xf>
    <xf numFmtId="0" fontId="162" fillId="64" borderId="54" xfId="0" applyFont="1" applyFill="1" applyBorder="1" applyAlignment="1" applyProtection="1">
      <alignment horizontal="center" vertical="center" wrapText="1"/>
      <protection hidden="1"/>
    </xf>
    <xf numFmtId="0" fontId="35" fillId="0" borderId="4" xfId="0" applyFont="1" applyBorder="1" applyAlignment="1" applyProtection="1">
      <alignment horizontal="center" vertical="center"/>
      <protection hidden="1"/>
    </xf>
    <xf numFmtId="0" fontId="14" fillId="0" borderId="33" xfId="0" applyFont="1" applyBorder="1" applyAlignment="1">
      <alignment horizontal="left" vertical="center"/>
    </xf>
    <xf numFmtId="0" fontId="3" fillId="69" borderId="4" xfId="0" applyFont="1" applyFill="1" applyBorder="1" applyAlignment="1" applyProtection="1">
      <alignment horizontal="center" vertical="center"/>
      <protection hidden="1"/>
    </xf>
    <xf numFmtId="0" fontId="3" fillId="59" borderId="4" xfId="0" applyFont="1" applyFill="1" applyBorder="1" applyAlignment="1" applyProtection="1">
      <alignment horizontal="center" vertical="center"/>
      <protection hidden="1"/>
    </xf>
    <xf numFmtId="0" fontId="14" fillId="69" borderId="4" xfId="0" applyFont="1" applyFill="1" applyBorder="1" applyAlignment="1" applyProtection="1">
      <alignment horizontal="left" vertical="center"/>
      <protection hidden="1"/>
    </xf>
    <xf numFmtId="2" fontId="14" fillId="59" borderId="4" xfId="0" applyNumberFormat="1" applyFont="1" applyFill="1" applyBorder="1" applyAlignment="1" applyProtection="1">
      <alignment horizontal="center" vertical="center"/>
      <protection hidden="1"/>
    </xf>
    <xf numFmtId="0" fontId="14" fillId="6" borderId="4" xfId="0" applyFont="1" applyFill="1" applyBorder="1" applyAlignment="1" applyProtection="1">
      <alignment horizontal="center" vertical="center"/>
      <protection hidden="1"/>
    </xf>
    <xf numFmtId="0" fontId="3" fillId="36" borderId="0" xfId="0" applyFont="1" applyFill="1" applyAlignment="1" applyProtection="1">
      <alignment horizontal="center" vertical="center" wrapText="1"/>
      <protection locked="0"/>
    </xf>
    <xf numFmtId="0" fontId="3" fillId="36" borderId="4" xfId="0" applyFont="1" applyFill="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14" fontId="14" fillId="0" borderId="13" xfId="0" applyNumberFormat="1" applyFont="1" applyBorder="1" applyAlignment="1" applyProtection="1">
      <alignment horizontal="left" vertical="center"/>
      <protection locked="0"/>
    </xf>
    <xf numFmtId="0" fontId="9" fillId="0" borderId="4" xfId="0" applyFont="1" applyBorder="1" applyAlignment="1" applyProtection="1">
      <alignment vertical="center" wrapText="1"/>
      <protection locked="0" hidden="1"/>
    </xf>
    <xf numFmtId="0" fontId="47" fillId="0" borderId="4" xfId="0" applyFont="1" applyBorder="1" applyAlignment="1" applyProtection="1">
      <alignment vertical="center" wrapText="1"/>
      <protection locked="0" hidden="1"/>
    </xf>
    <xf numFmtId="0" fontId="9" fillId="0" borderId="4" xfId="0" applyFont="1" applyBorder="1" applyAlignment="1">
      <alignment vertical="center" wrapText="1"/>
    </xf>
    <xf numFmtId="0" fontId="35" fillId="25" borderId="4" xfId="0" applyFont="1" applyFill="1" applyBorder="1" applyAlignment="1" applyProtection="1">
      <alignment horizontal="center" vertical="center"/>
      <protection hidden="1"/>
    </xf>
    <xf numFmtId="0" fontId="74" fillId="25" borderId="14" xfId="0" applyFont="1" applyFill="1" applyBorder="1" applyAlignment="1" applyProtection="1">
      <alignment horizontal="center" vertical="center" wrapText="1"/>
      <protection hidden="1"/>
    </xf>
    <xf numFmtId="0" fontId="35" fillId="25" borderId="14" xfId="0" applyFont="1" applyFill="1" applyBorder="1" applyAlignment="1" applyProtection="1">
      <alignment horizontal="center" vertical="center" wrapText="1"/>
      <protection hidden="1"/>
    </xf>
    <xf numFmtId="0" fontId="74" fillId="51" borderId="14" xfId="0" applyFont="1" applyFill="1" applyBorder="1" applyAlignment="1" applyProtection="1">
      <alignment horizontal="center" vertical="center" wrapText="1"/>
      <protection hidden="1"/>
    </xf>
    <xf numFmtId="3" fontId="47" fillId="0" borderId="4" xfId="0" applyNumberFormat="1" applyFont="1" applyBorder="1" applyAlignment="1" applyProtection="1">
      <alignment vertical="center"/>
      <protection hidden="1"/>
    </xf>
    <xf numFmtId="0" fontId="25" fillId="5" borderId="51" xfId="5" applyFont="1" applyFill="1" applyBorder="1" applyAlignment="1" applyProtection="1">
      <alignment horizontal="center" vertical="center" wrapText="1"/>
      <protection hidden="1"/>
    </xf>
    <xf numFmtId="0" fontId="9" fillId="12" borderId="4" xfId="8" applyFont="1" applyFill="1" applyBorder="1" applyAlignment="1" applyProtection="1">
      <alignment vertical="center" wrapText="1"/>
    </xf>
    <xf numFmtId="14" fontId="20" fillId="0" borderId="0" xfId="5" applyNumberFormat="1" applyFont="1" applyAlignment="1" applyProtection="1">
      <alignment horizontal="center" vertical="center"/>
      <protection locked="0"/>
    </xf>
    <xf numFmtId="0" fontId="29" fillId="0" borderId="125" xfId="5" applyFont="1" applyBorder="1" applyAlignment="1">
      <alignment vertical="center"/>
    </xf>
    <xf numFmtId="0" fontId="29" fillId="0" borderId="2" xfId="5" applyFont="1" applyBorder="1" applyAlignment="1">
      <alignment vertical="center"/>
    </xf>
    <xf numFmtId="0" fontId="29" fillId="0" borderId="0" xfId="5" applyFont="1" applyAlignment="1">
      <alignment vertical="center"/>
    </xf>
    <xf numFmtId="14" fontId="14" fillId="0" borderId="0" xfId="0" applyNumberFormat="1" applyFont="1" applyAlignment="1" applyProtection="1">
      <alignment horizontal="left" vertical="center"/>
      <protection locked="0"/>
    </xf>
    <xf numFmtId="0" fontId="65" fillId="29" borderId="124" xfId="34" applyFont="1" applyFill="1" applyBorder="1" applyAlignment="1" applyProtection="1">
      <alignment horizontal="center" vertical="center" wrapText="1"/>
      <protection hidden="1"/>
    </xf>
    <xf numFmtId="0" fontId="65" fillId="29" borderId="128" xfId="34" applyFont="1" applyFill="1" applyBorder="1" applyAlignment="1" applyProtection="1">
      <alignment horizontal="center" vertical="center" wrapText="1"/>
      <protection hidden="1"/>
    </xf>
    <xf numFmtId="175" fontId="65" fillId="65" borderId="130" xfId="5" applyNumberFormat="1" applyFont="1" applyFill="1" applyBorder="1" applyAlignment="1" applyProtection="1">
      <alignment horizontal="center" vertical="center" wrapText="1"/>
      <protection hidden="1"/>
    </xf>
    <xf numFmtId="175" fontId="65" fillId="36" borderId="164" xfId="7" applyNumberFormat="1" applyFont="1" applyFill="1" applyBorder="1" applyAlignment="1" applyProtection="1">
      <alignment horizontal="center" vertical="center" wrapText="1"/>
      <protection hidden="1"/>
    </xf>
    <xf numFmtId="0" fontId="0" fillId="64" borderId="14" xfId="0" applyFill="1" applyBorder="1" applyAlignment="1">
      <alignment horizontal="center" vertical="center"/>
    </xf>
    <xf numFmtId="0" fontId="0" fillId="64" borderId="31" xfId="0" applyFill="1" applyBorder="1" applyAlignment="1">
      <alignment horizontal="center" vertical="center"/>
    </xf>
    <xf numFmtId="175" fontId="62" fillId="64" borderId="4" xfId="2" applyNumberFormat="1" applyFont="1" applyFill="1" applyBorder="1" applyAlignment="1">
      <alignment horizontal="center" vertical="center"/>
    </xf>
    <xf numFmtId="0" fontId="18" fillId="64" borderId="9" xfId="0" applyFont="1" applyFill="1" applyBorder="1" applyAlignment="1">
      <alignment horizontal="left" vertical="center"/>
    </xf>
    <xf numFmtId="0" fontId="18" fillId="64" borderId="4" xfId="0" applyFont="1" applyFill="1" applyBorder="1" applyAlignment="1">
      <alignment horizontal="left" vertical="center"/>
    </xf>
    <xf numFmtId="2" fontId="182" fillId="21" borderId="4" xfId="0" applyNumberFormat="1" applyFont="1" applyFill="1" applyBorder="1" applyAlignment="1">
      <alignment horizontal="center" vertical="center"/>
    </xf>
    <xf numFmtId="0" fontId="0" fillId="21" borderId="4" xfId="0" applyFill="1" applyBorder="1" applyAlignment="1">
      <alignment horizontal="left" vertical="center"/>
    </xf>
    <xf numFmtId="2" fontId="62" fillId="20" borderId="4" xfId="0" applyNumberFormat="1" applyFont="1" applyFill="1" applyBorder="1" applyAlignment="1">
      <alignment horizontal="center" vertical="center"/>
    </xf>
    <xf numFmtId="0" fontId="0" fillId="20" borderId="4" xfId="0" applyFill="1" applyBorder="1" applyAlignment="1">
      <alignment horizontal="left" vertical="center"/>
    </xf>
    <xf numFmtId="2" fontId="62" fillId="65" borderId="158" xfId="0" applyNumberFormat="1" applyFont="1" applyFill="1" applyBorder="1" applyAlignment="1">
      <alignment horizontal="center" vertical="center"/>
    </xf>
    <xf numFmtId="0" fontId="0" fillId="65" borderId="4" xfId="0" applyFill="1" applyBorder="1" applyAlignment="1">
      <alignment horizontal="left" vertical="center"/>
    </xf>
    <xf numFmtId="9" fontId="28" fillId="5" borderId="12" xfId="2" applyFont="1" applyFill="1" applyBorder="1" applyAlignment="1" applyProtection="1">
      <alignment horizontal="center" vertical="center"/>
      <protection locked="0"/>
    </xf>
    <xf numFmtId="0" fontId="59" fillId="0" borderId="0" xfId="0" applyFont="1" applyAlignment="1">
      <alignment vertical="center"/>
    </xf>
    <xf numFmtId="0" fontId="0" fillId="64" borderId="35" xfId="0" applyFill="1" applyBorder="1" applyAlignment="1">
      <alignment horizontal="center" vertical="center"/>
    </xf>
    <xf numFmtId="2" fontId="62" fillId="64" borderId="21" xfId="0" applyNumberFormat="1" applyFont="1" applyFill="1" applyBorder="1" applyAlignment="1">
      <alignment horizontal="center" vertical="center"/>
    </xf>
    <xf numFmtId="2" fontId="62" fillId="64" borderId="4" xfId="0" applyNumberFormat="1" applyFont="1" applyFill="1" applyBorder="1" applyAlignment="1">
      <alignment horizontal="center" vertical="center"/>
    </xf>
    <xf numFmtId="2" fontId="182" fillId="21" borderId="21" xfId="0" applyNumberFormat="1" applyFont="1" applyFill="1" applyBorder="1" applyAlignment="1">
      <alignment horizontal="center" vertical="center" wrapText="1"/>
    </xf>
    <xf numFmtId="2" fontId="182" fillId="21" borderId="4" xfId="0" applyNumberFormat="1" applyFont="1" applyFill="1" applyBorder="1" applyAlignment="1">
      <alignment horizontal="center" vertical="center" wrapText="1"/>
    </xf>
    <xf numFmtId="2" fontId="62" fillId="20" borderId="21" xfId="0" applyNumberFormat="1" applyFont="1" applyFill="1" applyBorder="1" applyAlignment="1">
      <alignment horizontal="center" vertical="center"/>
    </xf>
    <xf numFmtId="2" fontId="62" fillId="65" borderId="157" xfId="0" applyNumberFormat="1" applyFont="1" applyFill="1" applyBorder="1" applyAlignment="1">
      <alignment horizontal="center" vertical="center"/>
    </xf>
    <xf numFmtId="0" fontId="109" fillId="14" borderId="9" xfId="34" applyFont="1" applyFill="1" applyBorder="1" applyAlignment="1" applyProtection="1">
      <alignment horizontal="center" vertical="center"/>
      <protection hidden="1"/>
    </xf>
    <xf numFmtId="10" fontId="109" fillId="14" borderId="156" xfId="34" applyNumberFormat="1" applyFont="1" applyFill="1" applyBorder="1" applyAlignment="1" applyProtection="1">
      <alignment horizontal="center" vertical="center"/>
      <protection hidden="1"/>
    </xf>
    <xf numFmtId="0" fontId="109" fillId="59" borderId="99" xfId="5" applyFont="1" applyFill="1" applyBorder="1" applyAlignment="1" applyProtection="1">
      <alignment vertical="center" wrapText="1"/>
      <protection hidden="1"/>
    </xf>
    <xf numFmtId="0" fontId="109" fillId="59" borderId="103" xfId="5" applyFont="1" applyFill="1" applyBorder="1" applyAlignment="1" applyProtection="1">
      <alignment vertical="center" wrapText="1"/>
      <protection hidden="1"/>
    </xf>
    <xf numFmtId="0" fontId="14" fillId="0" borderId="0" xfId="0" applyFont="1" applyAlignment="1" applyProtection="1">
      <alignment horizontal="left" vertical="center"/>
      <protection hidden="1"/>
    </xf>
    <xf numFmtId="14" fontId="27" fillId="0" borderId="33" xfId="0" applyNumberFormat="1" applyFont="1" applyBorder="1" applyAlignment="1" applyProtection="1">
      <alignment horizontal="left"/>
      <protection locked="0"/>
    </xf>
    <xf numFmtId="175" fontId="23" fillId="0" borderId="0" xfId="7" applyNumberFormat="1" applyFont="1" applyAlignment="1" applyProtection="1">
      <alignment vertical="center"/>
    </xf>
    <xf numFmtId="0" fontId="12" fillId="7" borderId="10" xfId="5" applyFont="1" applyFill="1" applyBorder="1" applyAlignment="1">
      <alignment horizontal="center" vertical="center" wrapText="1"/>
    </xf>
    <xf numFmtId="0" fontId="12" fillId="7" borderId="11" xfId="5" applyFont="1" applyFill="1" applyBorder="1" applyAlignment="1">
      <alignment horizontal="center" vertical="center" wrapText="1"/>
    </xf>
    <xf numFmtId="0" fontId="45" fillId="17" borderId="12" xfId="0" applyFont="1" applyFill="1" applyBorder="1" applyAlignment="1">
      <alignment horizontal="center" vertical="center" wrapText="1"/>
    </xf>
    <xf numFmtId="10" fontId="13" fillId="0" borderId="4" xfId="2" applyNumberFormat="1" applyFont="1" applyBorder="1" applyAlignment="1" applyProtection="1">
      <alignment horizontal="center" vertical="center"/>
      <protection hidden="1"/>
    </xf>
    <xf numFmtId="172" fontId="27" fillId="0" borderId="0" xfId="4" applyNumberFormat="1" applyFont="1" applyAlignment="1" applyProtection="1">
      <alignment horizontal="center" vertical="center" wrapText="1"/>
      <protection locked="0"/>
    </xf>
    <xf numFmtId="172" fontId="27" fillId="0" borderId="0" xfId="4" applyNumberFormat="1" applyFont="1" applyAlignment="1" applyProtection="1">
      <alignment vertical="center" wrapText="1"/>
      <protection locked="0"/>
    </xf>
    <xf numFmtId="9" fontId="27" fillId="0" borderId="0" xfId="2" applyFont="1" applyAlignment="1" applyProtection="1">
      <alignment vertical="center"/>
      <protection locked="0"/>
    </xf>
    <xf numFmtId="170" fontId="13" fillId="0" borderId="0" xfId="1" applyFont="1" applyAlignment="1" applyProtection="1">
      <alignment vertical="center"/>
      <protection locked="0"/>
    </xf>
    <xf numFmtId="0" fontId="13" fillId="0" borderId="0" xfId="5" applyFont="1" applyAlignment="1">
      <alignment vertical="center"/>
    </xf>
    <xf numFmtId="172" fontId="27" fillId="16" borderId="4" xfId="4" applyNumberFormat="1" applyFont="1" applyFill="1" applyBorder="1" applyAlignment="1" applyProtection="1">
      <alignment vertical="center"/>
    </xf>
    <xf numFmtId="172" fontId="27" fillId="13" borderId="0" xfId="4" applyNumberFormat="1" applyFont="1" applyFill="1" applyAlignment="1" applyProtection="1">
      <alignment horizontal="center" vertical="center"/>
    </xf>
    <xf numFmtId="172" fontId="28" fillId="32" borderId="4" xfId="4" applyNumberFormat="1" applyFont="1" applyFill="1" applyBorder="1" applyAlignment="1" applyProtection="1">
      <alignment horizontal="center" vertical="center"/>
    </xf>
    <xf numFmtId="172" fontId="27" fillId="16" borderId="4" xfId="4" applyNumberFormat="1" applyFont="1" applyFill="1" applyBorder="1" applyAlignment="1" applyProtection="1">
      <alignment horizontal="center" vertical="center"/>
    </xf>
    <xf numFmtId="9" fontId="27" fillId="16" borderId="4" xfId="2" applyFont="1" applyFill="1" applyBorder="1" applyAlignment="1" applyProtection="1">
      <alignment horizontal="center" vertical="center"/>
    </xf>
    <xf numFmtId="172" fontId="27" fillId="0" borderId="4" xfId="4" applyNumberFormat="1" applyFont="1" applyBorder="1" applyAlignment="1" applyProtection="1">
      <alignment horizontal="center" vertical="center"/>
    </xf>
    <xf numFmtId="0" fontId="47" fillId="30" borderId="4" xfId="0" applyFont="1" applyFill="1" applyBorder="1" applyAlignment="1">
      <alignment horizontal="center" vertical="center"/>
    </xf>
    <xf numFmtId="0" fontId="47" fillId="20" borderId="4" xfId="0" applyFont="1" applyFill="1" applyBorder="1" applyAlignment="1">
      <alignment horizontal="center" vertical="center"/>
    </xf>
    <xf numFmtId="0" fontId="52" fillId="21" borderId="4" xfId="0" applyFont="1" applyFill="1" applyBorder="1" applyAlignment="1">
      <alignment horizontal="center" vertical="center"/>
    </xf>
    <xf numFmtId="172" fontId="27" fillId="31" borderId="4" xfId="4" applyNumberFormat="1" applyFont="1" applyFill="1" applyBorder="1" applyAlignment="1" applyProtection="1">
      <alignment horizontal="center" vertical="center"/>
    </xf>
    <xf numFmtId="9" fontId="27" fillId="0" borderId="4" xfId="2" applyFont="1" applyBorder="1" applyAlignment="1" applyProtection="1">
      <alignment horizontal="center" vertical="center"/>
    </xf>
    <xf numFmtId="9" fontId="27" fillId="30" borderId="4" xfId="2" applyFont="1" applyFill="1" applyBorder="1" applyAlignment="1" applyProtection="1">
      <alignment horizontal="center" vertical="center"/>
    </xf>
    <xf numFmtId="9" fontId="14" fillId="30" borderId="4" xfId="0" applyNumberFormat="1" applyFont="1" applyFill="1" applyBorder="1" applyAlignment="1">
      <alignment horizontal="center" vertical="center"/>
    </xf>
    <xf numFmtId="9" fontId="14" fillId="20" borderId="4" xfId="0" applyNumberFormat="1" applyFont="1" applyFill="1" applyBorder="1" applyAlignment="1">
      <alignment horizontal="center" vertical="center"/>
    </xf>
    <xf numFmtId="9" fontId="27" fillId="20" borderId="4" xfId="2" applyFont="1" applyFill="1" applyBorder="1" applyAlignment="1" applyProtection="1">
      <alignment horizontal="center" vertical="center"/>
    </xf>
    <xf numFmtId="9" fontId="41" fillId="21" borderId="4" xfId="0" applyNumberFormat="1" applyFont="1" applyFill="1" applyBorder="1" applyAlignment="1">
      <alignment horizontal="center" vertical="center"/>
    </xf>
    <xf numFmtId="9" fontId="41" fillId="21" borderId="4" xfId="2" applyFont="1" applyFill="1" applyBorder="1" applyAlignment="1" applyProtection="1">
      <alignment horizontal="center" vertical="center"/>
    </xf>
    <xf numFmtId="172" fontId="27" fillId="5" borderId="4" xfId="4" applyNumberFormat="1" applyFont="1" applyFill="1" applyBorder="1" applyAlignment="1" applyProtection="1">
      <alignment horizontal="center" vertical="center"/>
    </xf>
    <xf numFmtId="10" fontId="27" fillId="30" borderId="4" xfId="2" applyNumberFormat="1" applyFont="1" applyFill="1" applyBorder="1" applyAlignment="1" applyProtection="1">
      <alignment horizontal="center" vertical="center"/>
    </xf>
    <xf numFmtId="10" fontId="14" fillId="20" borderId="4" xfId="0" applyNumberFormat="1" applyFont="1" applyFill="1" applyBorder="1" applyAlignment="1">
      <alignment horizontal="center" vertical="center"/>
    </xf>
    <xf numFmtId="10" fontId="41" fillId="21" borderId="4" xfId="0" applyNumberFormat="1" applyFont="1" applyFill="1" applyBorder="1" applyAlignment="1">
      <alignment horizontal="center" vertical="center"/>
    </xf>
    <xf numFmtId="0" fontId="9" fillId="0" borderId="0" xfId="5" applyFont="1" applyAlignment="1">
      <alignment vertical="center"/>
    </xf>
    <xf numFmtId="0" fontId="30" fillId="0" borderId="5" xfId="9" applyFont="1" applyBorder="1" applyAlignment="1">
      <alignment horizontal="center" vertical="center" wrapText="1"/>
    </xf>
    <xf numFmtId="0" fontId="30" fillId="0" borderId="3" xfId="9" applyFont="1" applyBorder="1" applyAlignment="1">
      <alignment horizontal="center" vertical="center" wrapText="1"/>
    </xf>
    <xf numFmtId="0" fontId="30" fillId="0" borderId="2" xfId="9" applyFont="1" applyBorder="1" applyAlignment="1">
      <alignment horizontal="center" vertical="center" wrapText="1"/>
    </xf>
    <xf numFmtId="0" fontId="33" fillId="0" borderId="3" xfId="9" applyFont="1" applyBorder="1" applyAlignment="1">
      <alignment horizontal="justify" vertical="center" wrapText="1"/>
    </xf>
    <xf numFmtId="9" fontId="54" fillId="0" borderId="3" xfId="9" applyNumberFormat="1" applyFont="1" applyBorder="1" applyAlignment="1">
      <alignment horizontal="center" vertical="center" wrapText="1"/>
    </xf>
    <xf numFmtId="176" fontId="10" fillId="0" borderId="0" xfId="7" applyNumberFormat="1" applyFont="1" applyAlignment="1" applyProtection="1">
      <alignment vertical="center"/>
    </xf>
    <xf numFmtId="175" fontId="10" fillId="0" borderId="0" xfId="7" applyNumberFormat="1" applyFont="1" applyAlignment="1" applyProtection="1">
      <alignment vertical="center"/>
    </xf>
    <xf numFmtId="0" fontId="33" fillId="0" borderId="26" xfId="9" applyFont="1" applyBorder="1" applyAlignment="1">
      <alignment horizontal="justify" vertical="center" wrapText="1"/>
    </xf>
    <xf numFmtId="9" fontId="54" fillId="0" borderId="26" xfId="9" applyNumberFormat="1" applyFont="1" applyBorder="1" applyAlignment="1">
      <alignment horizontal="center" vertical="center" wrapText="1"/>
    </xf>
    <xf numFmtId="172" fontId="27" fillId="0" borderId="0" xfId="4" applyNumberFormat="1" applyFont="1" applyBorder="1" applyAlignment="1" applyProtection="1">
      <alignment horizontal="center" vertical="center"/>
      <protection locked="0"/>
    </xf>
    <xf numFmtId="0" fontId="9" fillId="8" borderId="167" xfId="8" applyFont="1" applyFill="1" applyBorder="1" applyAlignment="1" applyProtection="1">
      <alignment horizontal="left" vertical="center" wrapText="1"/>
    </xf>
    <xf numFmtId="0" fontId="47" fillId="8" borderId="165" xfId="0" applyFont="1" applyFill="1" applyBorder="1" applyAlignment="1">
      <alignment horizontal="left" vertical="center" wrapText="1"/>
    </xf>
    <xf numFmtId="0" fontId="9" fillId="8" borderId="167" xfId="8" applyFont="1" applyFill="1" applyBorder="1" applyAlignment="1" applyProtection="1">
      <alignment vertical="center" wrapText="1"/>
    </xf>
    <xf numFmtId="0" fontId="9" fillId="6" borderId="165" xfId="8" applyFont="1" applyFill="1" applyBorder="1" applyAlignment="1" applyProtection="1">
      <alignment horizontal="justify" vertical="center" wrapText="1"/>
      <protection locked="0"/>
    </xf>
    <xf numFmtId="0" fontId="53" fillId="13" borderId="169" xfId="10" applyFont="1" applyFill="1" applyBorder="1" applyAlignment="1">
      <alignment vertical="center" wrapText="1"/>
    </xf>
    <xf numFmtId="9" fontId="14" fillId="13" borderId="0" xfId="2" applyFont="1" applyFill="1"/>
    <xf numFmtId="9" fontId="19" fillId="13" borderId="0" xfId="2" applyFont="1" applyFill="1" applyBorder="1" applyAlignment="1">
      <alignment wrapText="1"/>
    </xf>
    <xf numFmtId="9" fontId="14" fillId="0" borderId="0" xfId="2" applyFont="1" applyProtection="1">
      <protection hidden="1"/>
    </xf>
    <xf numFmtId="172" fontId="13" fillId="7" borderId="17" xfId="4" applyNumberFormat="1" applyFont="1" applyFill="1" applyBorder="1" applyAlignment="1" applyProtection="1">
      <alignment horizontal="center" vertical="center" wrapText="1"/>
      <protection locked="0"/>
    </xf>
    <xf numFmtId="10" fontId="13" fillId="6" borderId="17" xfId="7" applyNumberFormat="1" applyFont="1" applyFill="1" applyBorder="1" applyAlignment="1" applyProtection="1">
      <alignment horizontal="center" vertical="center" wrapText="1"/>
      <protection hidden="1"/>
    </xf>
    <xf numFmtId="0" fontId="28" fillId="7" borderId="139" xfId="4" applyNumberFormat="1" applyFont="1" applyFill="1" applyBorder="1" applyAlignment="1" applyProtection="1">
      <alignment horizontal="center" vertical="center" wrapText="1"/>
    </xf>
    <xf numFmtId="169" fontId="14" fillId="13" borderId="0" xfId="0" applyNumberFormat="1" applyFont="1" applyFill="1"/>
    <xf numFmtId="0" fontId="74" fillId="4" borderId="19" xfId="3" applyFont="1" applyFill="1" applyBorder="1" applyAlignment="1" applyProtection="1">
      <alignment horizontal="left" vertical="center" wrapText="1"/>
      <protection hidden="1"/>
    </xf>
    <xf numFmtId="49" fontId="28" fillId="6" borderId="19" xfId="5" applyNumberFormat="1" applyFont="1" applyFill="1" applyBorder="1" applyAlignment="1">
      <alignment vertical="center" wrapText="1"/>
    </xf>
    <xf numFmtId="49" fontId="28" fillId="6" borderId="49" xfId="5" applyNumberFormat="1" applyFont="1" applyFill="1" applyBorder="1" applyAlignment="1">
      <alignment horizontal="left" vertical="center" wrapText="1"/>
    </xf>
    <xf numFmtId="49" fontId="28" fillId="6" borderId="16" xfId="5" applyNumberFormat="1" applyFont="1" applyFill="1" applyBorder="1" applyAlignment="1">
      <alignment horizontal="left" vertical="center" wrapText="1"/>
    </xf>
    <xf numFmtId="49" fontId="28" fillId="6" borderId="21" xfId="5" applyNumberFormat="1" applyFont="1" applyFill="1" applyBorder="1" applyAlignment="1">
      <alignment horizontal="left" vertical="center" wrapText="1"/>
    </xf>
    <xf numFmtId="49" fontId="28" fillId="6" borderId="18" xfId="5" applyNumberFormat="1" applyFont="1" applyFill="1" applyBorder="1" applyAlignment="1">
      <alignment horizontal="left" vertical="center" wrapText="1"/>
    </xf>
    <xf numFmtId="44" fontId="25" fillId="0" borderId="63" xfId="14" applyFont="1" applyFill="1" applyBorder="1" applyAlignment="1" applyProtection="1">
      <alignment horizontal="center" vertical="center"/>
    </xf>
    <xf numFmtId="172" fontId="11" fillId="25" borderId="124" xfId="4" applyNumberFormat="1" applyFont="1" applyFill="1" applyBorder="1" applyAlignment="1" applyProtection="1">
      <alignment horizontal="center" vertical="center"/>
      <protection hidden="1"/>
    </xf>
    <xf numFmtId="172" fontId="11" fillId="25" borderId="128" xfId="4" applyNumberFormat="1" applyFont="1" applyFill="1" applyBorder="1" applyAlignment="1" applyProtection="1">
      <alignment horizontal="center" vertical="center"/>
      <protection hidden="1"/>
    </xf>
    <xf numFmtId="172" fontId="11" fillId="25" borderId="164" xfId="4" applyNumberFormat="1" applyFont="1" applyFill="1" applyBorder="1" applyAlignment="1" applyProtection="1">
      <alignment horizontal="center" vertical="center"/>
      <protection hidden="1"/>
    </xf>
    <xf numFmtId="172" fontId="183" fillId="12" borderId="19" xfId="4" applyNumberFormat="1" applyFont="1" applyFill="1" applyBorder="1" applyAlignment="1" applyProtection="1">
      <alignment horizontal="center" vertical="center"/>
      <protection hidden="1"/>
    </xf>
    <xf numFmtId="10" fontId="11" fillId="25" borderId="170" xfId="2" applyNumberFormat="1" applyFont="1" applyFill="1" applyBorder="1" applyAlignment="1" applyProtection="1">
      <alignment horizontal="center" vertical="center"/>
      <protection hidden="1"/>
    </xf>
    <xf numFmtId="10" fontId="11" fillId="25" borderId="86" xfId="2" applyNumberFormat="1" applyFont="1" applyFill="1" applyBorder="1" applyAlignment="1" applyProtection="1">
      <alignment horizontal="center" vertical="center"/>
      <protection hidden="1"/>
    </xf>
    <xf numFmtId="10" fontId="11" fillId="25" borderId="166" xfId="2" applyNumberFormat="1" applyFont="1" applyFill="1" applyBorder="1" applyAlignment="1" applyProtection="1">
      <alignment horizontal="center" vertical="center"/>
      <protection hidden="1"/>
    </xf>
    <xf numFmtId="175" fontId="17" fillId="5" borderId="5" xfId="2" applyNumberFormat="1" applyFont="1" applyFill="1" applyBorder="1" applyAlignment="1" applyProtection="1">
      <alignment horizontal="center" vertical="center"/>
      <protection hidden="1"/>
    </xf>
    <xf numFmtId="172" fontId="11" fillId="26" borderId="124" xfId="4" applyNumberFormat="1" applyFont="1" applyFill="1" applyBorder="1" applyAlignment="1" applyProtection="1">
      <alignment horizontal="center" vertical="center"/>
      <protection hidden="1"/>
    </xf>
    <xf numFmtId="0" fontId="11" fillId="25" borderId="164" xfId="5" applyFont="1" applyFill="1" applyBorder="1" applyAlignment="1" applyProtection="1">
      <alignment horizontal="center" vertical="center"/>
      <protection hidden="1"/>
    </xf>
    <xf numFmtId="172" fontId="17" fillId="10" borderId="19" xfId="4" applyNumberFormat="1" applyFont="1" applyFill="1" applyBorder="1" applyAlignment="1" applyProtection="1">
      <alignment horizontal="center" vertical="center" wrapText="1"/>
      <protection hidden="1"/>
    </xf>
    <xf numFmtId="0" fontId="74" fillId="4" borderId="124" xfId="3" applyFont="1" applyFill="1" applyBorder="1" applyAlignment="1" applyProtection="1">
      <alignment horizontal="left" vertical="center" wrapText="1"/>
      <protection hidden="1"/>
    </xf>
    <xf numFmtId="0" fontId="74" fillId="4" borderId="128" xfId="3" applyFont="1" applyFill="1" applyBorder="1" applyAlignment="1" applyProtection="1">
      <alignment horizontal="left" vertical="center" wrapText="1"/>
      <protection hidden="1"/>
    </xf>
    <xf numFmtId="0" fontId="74" fillId="4" borderId="130" xfId="3" applyFont="1" applyFill="1" applyBorder="1" applyAlignment="1" applyProtection="1">
      <alignment horizontal="left" vertical="center" wrapText="1"/>
      <protection hidden="1"/>
    </xf>
    <xf numFmtId="0" fontId="47" fillId="0" borderId="4" xfId="0" applyFont="1" applyBorder="1" applyAlignment="1">
      <alignment vertical="center" wrapText="1"/>
    </xf>
    <xf numFmtId="10" fontId="35" fillId="36" borderId="4" xfId="0" applyNumberFormat="1" applyFont="1" applyFill="1" applyBorder="1" applyAlignment="1" applyProtection="1">
      <alignment horizontal="center" vertical="center"/>
      <protection locked="0" hidden="1"/>
    </xf>
    <xf numFmtId="0" fontId="47" fillId="0" borderId="4" xfId="0" applyFont="1" applyBorder="1" applyAlignment="1" applyProtection="1">
      <alignment horizontal="left" vertical="center" wrapText="1"/>
      <protection hidden="1"/>
    </xf>
    <xf numFmtId="0" fontId="164" fillId="0" borderId="0" xfId="5" applyFont="1" applyAlignment="1" applyProtection="1">
      <alignment horizontal="center"/>
      <protection locked="0"/>
    </xf>
    <xf numFmtId="0" fontId="47" fillId="0" borderId="0" xfId="5" applyFont="1" applyAlignment="1" applyProtection="1">
      <alignment horizontal="center"/>
      <protection locked="0"/>
    </xf>
    <xf numFmtId="0" fontId="20" fillId="0" borderId="0" xfId="5" applyFont="1" applyAlignment="1" applyProtection="1">
      <alignment horizontal="center" vertical="center"/>
      <protection locked="0"/>
    </xf>
    <xf numFmtId="175" fontId="65" fillId="65" borderId="128" xfId="5" applyNumberFormat="1" applyFont="1" applyFill="1" applyBorder="1" applyAlignment="1" applyProtection="1">
      <alignment horizontal="center" vertical="center" wrapText="1"/>
      <protection hidden="1"/>
    </xf>
    <xf numFmtId="0" fontId="35" fillId="0" borderId="14" xfId="0" applyFont="1" applyBorder="1" applyAlignment="1" applyProtection="1">
      <alignment horizontal="center" vertical="center" wrapText="1"/>
      <protection hidden="1"/>
    </xf>
    <xf numFmtId="0" fontId="35" fillId="0" borderId="0" xfId="0" applyFont="1" applyAlignment="1" applyProtection="1">
      <alignment horizontal="center" vertical="center"/>
      <protection hidden="1"/>
    </xf>
    <xf numFmtId="0" fontId="35" fillId="0" borderId="4" xfId="0" applyFont="1" applyBorder="1" applyAlignment="1" applyProtection="1">
      <alignment horizontal="center" vertical="center"/>
      <protection hidden="1"/>
    </xf>
    <xf numFmtId="0" fontId="14" fillId="0" borderId="13" xfId="0" applyFont="1" applyBorder="1" applyAlignment="1" applyProtection="1">
      <alignment horizontal="left" vertical="center"/>
      <protection locked="0"/>
    </xf>
    <xf numFmtId="0" fontId="14" fillId="0" borderId="33" xfId="0" applyFont="1" applyBorder="1" applyAlignment="1" applyProtection="1">
      <alignment horizontal="left" vertical="center"/>
      <protection locked="0"/>
    </xf>
    <xf numFmtId="14" fontId="14" fillId="0" borderId="13" xfId="0" applyNumberFormat="1" applyFont="1" applyBorder="1" applyAlignment="1" applyProtection="1">
      <alignment horizontal="left" vertical="center"/>
      <protection locked="0"/>
    </xf>
    <xf numFmtId="184" fontId="0" fillId="9" borderId="4" xfId="0" applyNumberFormat="1" applyFill="1" applyBorder="1" applyAlignment="1" applyProtection="1">
      <alignment horizontal="left" vertical="center"/>
      <protection locked="0"/>
    </xf>
    <xf numFmtId="0" fontId="19"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5" fillId="0" borderId="0" xfId="0" applyFont="1" applyAlignment="1" applyProtection="1">
      <alignment horizontal="left" vertical="center" wrapText="1"/>
      <protection hidden="1"/>
    </xf>
    <xf numFmtId="0" fontId="14" fillId="13" borderId="22" xfId="0" applyFont="1" applyFill="1" applyBorder="1" applyAlignment="1" applyProtection="1">
      <alignment horizontal="left" vertical="top"/>
      <protection locked="0"/>
    </xf>
    <xf numFmtId="0" fontId="14" fillId="13" borderId="4" xfId="0" applyFont="1" applyFill="1" applyBorder="1" applyAlignment="1" applyProtection="1">
      <alignment horizontal="left" vertical="top"/>
      <protection locked="0"/>
    </xf>
    <xf numFmtId="0" fontId="14" fillId="0" borderId="0" xfId="0" applyFont="1" applyAlignment="1" applyProtection="1">
      <alignment horizontal="left" wrapText="1"/>
      <protection hidden="1"/>
    </xf>
    <xf numFmtId="0" fontId="14" fillId="0" borderId="0" xfId="0" applyFont="1" applyBorder="1" applyAlignment="1">
      <alignment vertical="center"/>
    </xf>
    <xf numFmtId="0" fontId="14" fillId="0" borderId="0" xfId="0" applyFont="1" applyAlignment="1">
      <alignment horizontal="left" vertical="center" wrapText="1"/>
    </xf>
    <xf numFmtId="0" fontId="66" fillId="0" borderId="0" xfId="0" applyFont="1" applyProtection="1">
      <protection locked="0"/>
    </xf>
    <xf numFmtId="0" fontId="66" fillId="0" borderId="13" xfId="0" applyFont="1" applyBorder="1" applyProtection="1">
      <protection locked="0"/>
    </xf>
    <xf numFmtId="9" fontId="66" fillId="0" borderId="0" xfId="2" applyFont="1" applyProtection="1">
      <protection locked="0"/>
    </xf>
    <xf numFmtId="9" fontId="35" fillId="65" borderId="128" xfId="0" applyNumberFormat="1" applyFont="1" applyFill="1" applyBorder="1" applyAlignment="1" applyProtection="1">
      <alignment horizontal="center" vertical="center" wrapText="1"/>
      <protection hidden="1"/>
    </xf>
    <xf numFmtId="0" fontId="35" fillId="0" borderId="128" xfId="0" applyFont="1" applyBorder="1" applyAlignment="1" applyProtection="1">
      <alignment horizontal="center" vertical="center" wrapText="1"/>
      <protection hidden="1"/>
    </xf>
    <xf numFmtId="0" fontId="165" fillId="0" borderId="0" xfId="5" applyFont="1" applyAlignment="1" applyProtection="1">
      <alignment horizontal="left" vertical="center" wrapText="1"/>
      <protection locked="0"/>
    </xf>
    <xf numFmtId="0" fontId="51" fillId="0" borderId="0" xfId="5" applyFont="1" applyAlignment="1" applyProtection="1">
      <alignment horizontal="center" vertical="center"/>
      <protection locked="0"/>
    </xf>
    <xf numFmtId="0" fontId="14" fillId="0" borderId="0" xfId="5" applyFont="1" applyAlignment="1" applyProtection="1">
      <alignment horizontal="center" vertical="center"/>
      <protection locked="0"/>
    </xf>
    <xf numFmtId="0" fontId="25" fillId="0" borderId="4" xfId="0" applyFont="1" applyBorder="1" applyAlignment="1" applyProtection="1">
      <alignment horizontal="center" vertical="center"/>
      <protection locked="0"/>
    </xf>
    <xf numFmtId="0" fontId="14" fillId="0" borderId="4" xfId="0" applyFont="1" applyBorder="1" applyAlignment="1" applyProtection="1">
      <alignment vertical="center" wrapText="1"/>
      <protection locked="0"/>
    </xf>
    <xf numFmtId="0" fontId="19" fillId="0" borderId="0" xfId="5" applyFont="1" applyAlignment="1" applyProtection="1">
      <alignment horizontal="right" vertical="center"/>
      <protection locked="0"/>
    </xf>
    <xf numFmtId="0" fontId="20" fillId="0" borderId="0" xfId="5" applyFont="1" applyAlignment="1" applyProtection="1">
      <alignment horizontal="right" vertical="center"/>
      <protection locked="0"/>
    </xf>
    <xf numFmtId="0" fontId="20" fillId="0" borderId="0" xfId="5" applyFont="1" applyAlignment="1" applyProtection="1">
      <alignment horizontal="right"/>
      <protection locked="0"/>
    </xf>
    <xf numFmtId="0" fontId="164" fillId="0" borderId="0" xfId="5" applyFont="1" applyAlignment="1" applyProtection="1">
      <alignment horizontal="right" vertical="center"/>
      <protection locked="0"/>
    </xf>
    <xf numFmtId="0" fontId="164" fillId="0" borderId="0" xfId="5" applyFont="1" applyAlignment="1" applyProtection="1">
      <alignment horizontal="right"/>
      <protection locked="0"/>
    </xf>
    <xf numFmtId="0" fontId="62" fillId="0" borderId="0" xfId="0" applyFont="1" applyProtection="1">
      <protection locked="0"/>
    </xf>
    <xf numFmtId="0" fontId="62" fillId="0" borderId="42" xfId="0" applyFont="1" applyBorder="1" applyProtection="1">
      <protection locked="0"/>
    </xf>
    <xf numFmtId="9" fontId="62" fillId="0" borderId="0" xfId="2" applyFont="1" applyProtection="1">
      <protection locked="0"/>
    </xf>
    <xf numFmtId="9" fontId="62" fillId="0" borderId="89" xfId="2" applyFont="1" applyBorder="1" applyProtection="1">
      <protection locked="0"/>
    </xf>
    <xf numFmtId="9" fontId="62" fillId="0" borderId="90" xfId="2" applyFont="1" applyBorder="1" applyProtection="1">
      <protection locked="0"/>
    </xf>
    <xf numFmtId="9" fontId="62" fillId="0" borderId="0" xfId="0" applyNumberFormat="1" applyFont="1" applyProtection="1">
      <protection locked="0"/>
    </xf>
    <xf numFmtId="9" fontId="62" fillId="0" borderId="91" xfId="2" applyFont="1" applyBorder="1" applyProtection="1">
      <protection locked="0"/>
    </xf>
    <xf numFmtId="0" fontId="62" fillId="0" borderId="44" xfId="0" applyFont="1" applyBorder="1" applyProtection="1">
      <protection locked="0"/>
    </xf>
    <xf numFmtId="0" fontId="62" fillId="0" borderId="89" xfId="0" applyFont="1" applyBorder="1" applyProtection="1">
      <protection locked="0"/>
    </xf>
    <xf numFmtId="0" fontId="14" fillId="0" borderId="33" xfId="0" applyFont="1" applyBorder="1" applyProtection="1">
      <protection hidden="1"/>
    </xf>
    <xf numFmtId="0" fontId="14" fillId="0" borderId="13" xfId="0" applyFont="1" applyBorder="1" applyProtection="1">
      <protection hidden="1"/>
    </xf>
    <xf numFmtId="14" fontId="14" fillId="0" borderId="33" xfId="0" applyNumberFormat="1" applyFont="1" applyBorder="1" applyAlignment="1" applyProtection="1">
      <alignment horizontal="left"/>
      <protection hidden="1"/>
    </xf>
    <xf numFmtId="14" fontId="14" fillId="0" borderId="33" xfId="0" applyNumberFormat="1" applyFont="1" applyBorder="1" applyProtection="1">
      <protection hidden="1"/>
    </xf>
    <xf numFmtId="172" fontId="14" fillId="0" borderId="13" xfId="18" applyNumberFormat="1" applyFont="1" applyBorder="1" applyAlignment="1" applyProtection="1">
      <alignment vertical="center"/>
      <protection hidden="1"/>
    </xf>
    <xf numFmtId="182" fontId="14" fillId="0" borderId="13" xfId="17" applyNumberFormat="1" applyFont="1" applyBorder="1" applyProtection="1">
      <protection hidden="1"/>
    </xf>
    <xf numFmtId="182" fontId="14" fillId="0" borderId="33" xfId="17" applyNumberFormat="1" applyFont="1" applyBorder="1" applyProtection="1">
      <protection hidden="1"/>
    </xf>
    <xf numFmtId="0" fontId="51" fillId="43" borderId="4" xfId="0" applyFont="1" applyFill="1" applyBorder="1" applyAlignment="1" applyProtection="1">
      <alignment horizontal="center" vertical="center" wrapText="1"/>
      <protection locked="0"/>
    </xf>
    <xf numFmtId="0" fontId="14" fillId="0" borderId="0" xfId="0" applyFont="1" applyAlignment="1" applyProtection="1">
      <alignment horizontal="center"/>
      <protection locked="0"/>
    </xf>
    <xf numFmtId="0" fontId="35" fillId="0" borderId="0" xfId="0" applyFont="1" applyAlignment="1" applyProtection="1">
      <alignment vertical="center" wrapText="1"/>
      <protection locked="0"/>
    </xf>
    <xf numFmtId="0" fontId="14" fillId="0" borderId="19" xfId="0" applyFont="1" applyBorder="1" applyAlignment="1" applyProtection="1">
      <alignment vertical="center"/>
      <protection locked="0"/>
    </xf>
    <xf numFmtId="182" fontId="51" fillId="43" borderId="4" xfId="17" applyNumberFormat="1" applyFont="1" applyFill="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182" fontId="69" fillId="0" borderId="4" xfId="17" applyNumberFormat="1" applyFont="1" applyFill="1" applyBorder="1" applyAlignment="1" applyProtection="1">
      <alignment horizontal="right" vertical="center" wrapText="1"/>
      <protection locked="0"/>
    </xf>
    <xf numFmtId="182" fontId="69" fillId="0" borderId="4" xfId="17" applyNumberFormat="1" applyFont="1" applyFill="1" applyBorder="1" applyAlignment="1" applyProtection="1">
      <alignment horizontal="right" vertical="center"/>
      <protection locked="0"/>
    </xf>
    <xf numFmtId="10" fontId="69" fillId="0" borderId="4" xfId="2" applyNumberFormat="1" applyFont="1" applyFill="1" applyBorder="1" applyAlignment="1" applyProtection="1">
      <alignment horizontal="right" vertical="center"/>
      <protection locked="0"/>
    </xf>
    <xf numFmtId="0" fontId="69" fillId="0" borderId="4" xfId="0" applyFont="1" applyBorder="1" applyAlignment="1" applyProtection="1">
      <alignment vertical="center" wrapText="1"/>
      <protection locked="0"/>
    </xf>
    <xf numFmtId="10" fontId="69" fillId="0" borderId="4" xfId="2" applyNumberFormat="1" applyFont="1" applyFill="1" applyBorder="1" applyAlignment="1" applyProtection="1">
      <alignment horizontal="center"/>
      <protection locked="0"/>
    </xf>
    <xf numFmtId="0" fontId="69" fillId="0" borderId="93" xfId="0" applyFont="1" applyBorder="1" applyAlignment="1" applyProtection="1">
      <alignment vertical="center" wrapText="1"/>
      <protection locked="0"/>
    </xf>
    <xf numFmtId="0" fontId="69" fillId="0" borderId="4" xfId="0" applyFont="1" applyBorder="1" applyAlignment="1" applyProtection="1">
      <alignment vertical="center"/>
      <protection locked="0"/>
    </xf>
    <xf numFmtId="10" fontId="69" fillId="0" borderId="4" xfId="2" applyNumberFormat="1" applyFont="1" applyFill="1" applyBorder="1" applyProtection="1">
      <protection locked="0"/>
    </xf>
    <xf numFmtId="0" fontId="69" fillId="0" borderId="21" xfId="0" applyFont="1" applyBorder="1" applyProtection="1">
      <protection locked="0"/>
    </xf>
    <xf numFmtId="0" fontId="69" fillId="0" borderId="21" xfId="0" applyFont="1" applyBorder="1" applyAlignment="1" applyProtection="1">
      <alignment horizontal="center"/>
      <protection locked="0"/>
    </xf>
    <xf numFmtId="0" fontId="69" fillId="0" borderId="21" xfId="0" applyFont="1" applyBorder="1" applyAlignment="1" applyProtection="1">
      <alignment horizontal="center" vertical="center"/>
      <protection locked="0"/>
    </xf>
    <xf numFmtId="0" fontId="69" fillId="0" borderId="4" xfId="0" applyFont="1" applyBorder="1" applyAlignment="1" applyProtection="1">
      <alignment horizontal="center"/>
      <protection locked="0"/>
    </xf>
    <xf numFmtId="0" fontId="69" fillId="0" borderId="0" xfId="0" applyFont="1" applyProtection="1">
      <protection locked="0"/>
    </xf>
    <xf numFmtId="10" fontId="69" fillId="0" borderId="21" xfId="2" applyNumberFormat="1" applyFont="1" applyFill="1" applyBorder="1" applyProtection="1">
      <protection locked="0"/>
    </xf>
    <xf numFmtId="0" fontId="70" fillId="0" borderId="21" xfId="0" applyFont="1" applyBorder="1" applyAlignment="1" applyProtection="1">
      <alignment vertical="center" wrapText="1"/>
      <protection locked="0"/>
    </xf>
    <xf numFmtId="0" fontId="69" fillId="0" borderId="4" xfId="0" applyFont="1" applyBorder="1" applyProtection="1">
      <protection locked="0"/>
    </xf>
    <xf numFmtId="0" fontId="69" fillId="0" borderId="4" xfId="0" applyFont="1" applyBorder="1" applyAlignment="1" applyProtection="1">
      <alignment horizontal="center" vertical="center"/>
      <protection locked="0"/>
    </xf>
    <xf numFmtId="182" fontId="14" fillId="0" borderId="0" xfId="17" applyNumberFormat="1" applyFont="1" applyProtection="1">
      <protection locked="0"/>
    </xf>
    <xf numFmtId="0" fontId="47" fillId="36" borderId="4" xfId="0" applyFont="1" applyFill="1" applyBorder="1" applyAlignment="1" applyProtection="1">
      <alignment vertical="center"/>
      <protection hidden="1"/>
    </xf>
    <xf numFmtId="0" fontId="9" fillId="36" borderId="4" xfId="0" applyFont="1" applyFill="1" applyBorder="1" applyAlignment="1" applyProtection="1">
      <alignment vertical="center"/>
      <protection hidden="1"/>
    </xf>
    <xf numFmtId="0" fontId="47" fillId="13" borderId="4" xfId="0" applyFont="1" applyFill="1" applyBorder="1" applyAlignment="1" applyProtection="1">
      <alignment horizontal="center" vertical="center"/>
      <protection hidden="1"/>
    </xf>
    <xf numFmtId="0" fontId="47" fillId="0" borderId="21" xfId="0" applyFont="1" applyBorder="1" applyAlignment="1" applyProtection="1">
      <alignment horizontal="center" vertical="center"/>
      <protection hidden="1"/>
    </xf>
    <xf numFmtId="0" fontId="47" fillId="36" borderId="93" xfId="0" applyFont="1" applyFill="1" applyBorder="1" applyAlignment="1" applyProtection="1">
      <alignment vertical="center"/>
      <protection hidden="1"/>
    </xf>
    <xf numFmtId="0" fontId="35" fillId="0" borderId="14" xfId="0" applyFont="1" applyBorder="1" applyAlignment="1" applyProtection="1">
      <alignment horizontal="justify" vertical="center"/>
      <protection hidden="1"/>
    </xf>
    <xf numFmtId="0" fontId="74" fillId="0" borderId="14" xfId="0" applyFont="1" applyBorder="1" applyAlignment="1" applyProtection="1">
      <alignment horizontal="justify" vertical="center"/>
      <protection hidden="1"/>
    </xf>
    <xf numFmtId="0" fontId="47" fillId="13" borderId="4" xfId="0" applyFont="1" applyFill="1" applyBorder="1" applyAlignment="1" applyProtection="1">
      <alignment horizontal="justify" vertical="center"/>
      <protection hidden="1"/>
    </xf>
    <xf numFmtId="175" fontId="47" fillId="13" borderId="4" xfId="0" applyNumberFormat="1" applyFont="1" applyFill="1" applyBorder="1" applyAlignment="1" applyProtection="1">
      <alignment horizontal="center" vertical="center"/>
      <protection hidden="1"/>
    </xf>
    <xf numFmtId="175" fontId="47" fillId="0" borderId="0" xfId="0" applyNumberFormat="1" applyFont="1" applyAlignment="1" applyProtection="1">
      <alignment horizontal="center" vertical="center"/>
      <protection hidden="1"/>
    </xf>
    <xf numFmtId="0" fontId="35" fillId="11" borderId="4" xfId="0" applyFont="1" applyFill="1" applyBorder="1" applyAlignment="1" applyProtection="1">
      <alignment horizontal="justify" vertical="center"/>
      <protection hidden="1"/>
    </xf>
    <xf numFmtId="10" fontId="74" fillId="36" borderId="4" xfId="2" applyNumberFormat="1" applyFont="1" applyFill="1" applyBorder="1" applyAlignment="1" applyProtection="1">
      <alignment horizontal="center" vertical="center"/>
      <protection locked="0"/>
    </xf>
    <xf numFmtId="182" fontId="35" fillId="36" borderId="4" xfId="17" applyNumberFormat="1" applyFont="1" applyFill="1" applyBorder="1" applyAlignment="1" applyProtection="1">
      <alignment vertical="center"/>
      <protection locked="0"/>
    </xf>
    <xf numFmtId="0" fontId="14" fillId="53" borderId="0" xfId="5" applyFont="1" applyFill="1" applyAlignment="1" applyProtection="1">
      <alignment vertical="center" wrapText="1"/>
      <protection hidden="1"/>
    </xf>
    <xf numFmtId="0" fontId="109" fillId="53" borderId="0" xfId="5" applyFont="1" applyFill="1" applyAlignment="1" applyProtection="1">
      <alignment vertical="center" wrapText="1"/>
      <protection hidden="1"/>
    </xf>
    <xf numFmtId="0" fontId="9" fillId="0" borderId="4" xfId="0" applyFont="1" applyBorder="1" applyAlignment="1" applyProtection="1">
      <alignment horizontal="right" vertical="center" wrapText="1"/>
      <protection hidden="1"/>
    </xf>
    <xf numFmtId="0" fontId="110" fillId="0" borderId="0" xfId="0" applyFont="1" applyAlignment="1" applyProtection="1">
      <alignment horizontal="left" wrapText="1"/>
      <protection hidden="1"/>
    </xf>
    <xf numFmtId="0" fontId="10" fillId="20" borderId="14" xfId="5" applyFont="1" applyFill="1" applyBorder="1" applyAlignment="1" applyProtection="1">
      <alignment horizontal="center" vertical="center" wrapText="1"/>
      <protection hidden="1"/>
    </xf>
    <xf numFmtId="0" fontId="19" fillId="20" borderId="14" xfId="5" applyFont="1" applyFill="1" applyBorder="1" applyAlignment="1" applyProtection="1">
      <alignment horizontal="justify" vertical="center" wrapText="1"/>
      <protection hidden="1"/>
    </xf>
    <xf numFmtId="0" fontId="19" fillId="20" borderId="14" xfId="5" applyFont="1" applyFill="1" applyBorder="1" applyAlignment="1" applyProtection="1">
      <alignment horizontal="center" vertical="center" wrapText="1"/>
      <protection hidden="1"/>
    </xf>
    <xf numFmtId="0" fontId="19" fillId="20" borderId="4" xfId="5" applyFont="1" applyFill="1" applyBorder="1" applyAlignment="1" applyProtection="1">
      <alignment horizontal="center" vertical="center" wrapText="1"/>
      <protection hidden="1"/>
    </xf>
    <xf numFmtId="0" fontId="14" fillId="13" borderId="0" xfId="5" applyFont="1" applyFill="1" applyAlignment="1" applyProtection="1">
      <alignment vertical="center" wrapText="1"/>
      <protection hidden="1"/>
    </xf>
    <xf numFmtId="0" fontId="28" fillId="53" borderId="0" xfId="5" applyFont="1" applyFill="1" applyAlignment="1" applyProtection="1">
      <alignment horizontal="center" vertical="center" wrapText="1"/>
      <protection hidden="1"/>
    </xf>
    <xf numFmtId="3" fontId="20" fillId="53" borderId="4" xfId="5" applyNumberFormat="1" applyFont="1" applyFill="1" applyBorder="1" applyAlignment="1" applyProtection="1">
      <alignment vertical="center" wrapText="1"/>
      <protection hidden="1"/>
    </xf>
    <xf numFmtId="43" fontId="25" fillId="0" borderId="4" xfId="18" applyFont="1" applyBorder="1" applyAlignment="1" applyProtection="1">
      <alignment vertical="center"/>
      <protection locked="0"/>
    </xf>
    <xf numFmtId="43" fontId="14" fillId="0" borderId="4" xfId="18" applyFont="1" applyBorder="1" applyAlignment="1" applyProtection="1">
      <alignment vertical="center"/>
      <protection locked="0"/>
    </xf>
    <xf numFmtId="43" fontId="14" fillId="0" borderId="22" xfId="18" applyFont="1" applyBorder="1" applyAlignment="1" applyProtection="1">
      <alignment vertical="center"/>
      <protection locked="0"/>
    </xf>
    <xf numFmtId="0" fontId="25" fillId="0" borderId="4"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25" fillId="0" borderId="17" xfId="0" applyFont="1" applyBorder="1" applyAlignment="1" applyProtection="1">
      <alignment horizontal="left" vertical="center" wrapText="1"/>
      <protection locked="0"/>
    </xf>
    <xf numFmtId="0" fontId="14" fillId="0" borderId="17" xfId="0" applyFont="1" applyBorder="1" applyAlignment="1" applyProtection="1">
      <alignment horizontal="left" vertical="center" wrapText="1"/>
      <protection locked="0"/>
    </xf>
    <xf numFmtId="0" fontId="14" fillId="0" borderId="22" xfId="0" applyFont="1" applyBorder="1" applyAlignment="1" applyProtection="1">
      <alignment horizontal="center" vertical="center"/>
      <protection locked="0"/>
    </xf>
    <xf numFmtId="0" fontId="14" fillId="0" borderId="23" xfId="0" applyFont="1" applyBorder="1" applyAlignment="1" applyProtection="1">
      <alignment horizontal="left" vertical="center" wrapText="1"/>
      <protection locked="0"/>
    </xf>
    <xf numFmtId="43" fontId="25" fillId="0" borderId="11" xfId="18" applyFont="1" applyBorder="1" applyAlignment="1" applyProtection="1">
      <alignment vertical="center"/>
      <protection locked="0"/>
    </xf>
    <xf numFmtId="0" fontId="25" fillId="0" borderId="11" xfId="0" applyFont="1" applyBorder="1" applyAlignment="1" applyProtection="1">
      <alignment horizontal="left" vertical="center" wrapText="1"/>
      <protection locked="0"/>
    </xf>
    <xf numFmtId="0" fontId="14" fillId="0" borderId="22" xfId="0" applyFont="1" applyBorder="1" applyAlignment="1" applyProtection="1">
      <alignment horizontal="left" vertical="center" wrapText="1"/>
      <protection locked="0"/>
    </xf>
    <xf numFmtId="0" fontId="25" fillId="0" borderId="12" xfId="0" applyFont="1" applyBorder="1" applyAlignment="1" applyProtection="1">
      <alignment horizontal="left" vertical="center" wrapText="1"/>
      <protection locked="0"/>
    </xf>
    <xf numFmtId="0" fontId="14" fillId="0" borderId="10" xfId="0" applyFont="1" applyBorder="1" applyAlignment="1" applyProtection="1">
      <alignment vertical="center"/>
      <protection locked="0"/>
    </xf>
    <xf numFmtId="0" fontId="14" fillId="0" borderId="12" xfId="0" applyFont="1" applyBorder="1" applyAlignment="1" applyProtection="1">
      <alignment vertical="center"/>
      <protection locked="0"/>
    </xf>
    <xf numFmtId="0" fontId="14" fillId="0" borderId="16" xfId="0" applyFont="1" applyBorder="1" applyAlignment="1" applyProtection="1">
      <alignment vertical="center"/>
      <protection locked="0"/>
    </xf>
    <xf numFmtId="0" fontId="14" fillId="0" borderId="17" xfId="0" applyFont="1" applyBorder="1" applyAlignment="1" applyProtection="1">
      <alignment vertical="center"/>
      <protection locked="0"/>
    </xf>
    <xf numFmtId="0" fontId="14" fillId="0" borderId="29"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48" xfId="0" applyFont="1" applyBorder="1" applyAlignment="1" applyProtection="1">
      <alignment vertical="center"/>
      <protection locked="0"/>
    </xf>
    <xf numFmtId="0" fontId="14" fillId="0" borderId="21"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14" fillId="0" borderId="23" xfId="0" applyFont="1" applyBorder="1" applyAlignment="1" applyProtection="1">
      <alignment vertical="center"/>
      <protection locked="0"/>
    </xf>
    <xf numFmtId="0" fontId="14" fillId="0" borderId="103" xfId="0" applyFont="1" applyBorder="1" applyAlignment="1" applyProtection="1">
      <alignment horizontal="center" vertical="center"/>
      <protection locked="0"/>
    </xf>
    <xf numFmtId="0" fontId="14" fillId="0" borderId="103" xfId="0" applyFont="1" applyBorder="1" applyAlignment="1" applyProtection="1">
      <alignment horizontal="left" vertical="center" wrapText="1"/>
      <protection locked="0"/>
    </xf>
    <xf numFmtId="0" fontId="14" fillId="0" borderId="3" xfId="0" applyFont="1" applyBorder="1" applyAlignment="1" applyProtection="1">
      <alignment horizontal="left" vertical="center" wrapText="1"/>
      <protection locked="0"/>
    </xf>
    <xf numFmtId="0" fontId="14" fillId="0" borderId="97" xfId="0" applyFont="1" applyBorder="1" applyAlignment="1" applyProtection="1">
      <alignment horizontal="center" vertical="center"/>
      <protection locked="0"/>
    </xf>
    <xf numFmtId="0" fontId="14" fillId="0" borderId="137" xfId="0" applyFont="1" applyBorder="1" applyAlignment="1" applyProtection="1">
      <alignment vertical="center"/>
      <protection locked="0"/>
    </xf>
    <xf numFmtId="0" fontId="14" fillId="0" borderId="5" xfId="0" applyFont="1" applyBorder="1" applyAlignment="1" applyProtection="1">
      <alignment vertical="center"/>
      <protection locked="0"/>
    </xf>
    <xf numFmtId="184" fontId="59" fillId="0" borderId="4" xfId="0" applyNumberFormat="1" applyFont="1" applyBorder="1" applyAlignment="1" applyProtection="1">
      <alignment vertical="center"/>
      <protection hidden="1"/>
    </xf>
    <xf numFmtId="184" fontId="101" fillId="0" borderId="4" xfId="0" applyNumberFormat="1" applyFont="1" applyBorder="1" applyAlignment="1" applyProtection="1">
      <alignment horizontal="center" vertical="center"/>
      <protection hidden="1"/>
    </xf>
    <xf numFmtId="184" fontId="71" fillId="9" borderId="4" xfId="0" applyNumberFormat="1" applyFont="1" applyFill="1" applyBorder="1" applyAlignment="1" applyProtection="1">
      <alignment horizontal="center" vertical="center"/>
      <protection hidden="1"/>
    </xf>
    <xf numFmtId="184" fontId="59" fillId="0" borderId="4" xfId="0" applyNumberFormat="1" applyFont="1" applyBorder="1" applyProtection="1">
      <protection hidden="1"/>
    </xf>
    <xf numFmtId="0" fontId="101" fillId="0" borderId="4" xfId="0" applyFont="1" applyBorder="1" applyAlignment="1" applyProtection="1">
      <alignment horizontal="center" vertical="center"/>
      <protection hidden="1"/>
    </xf>
    <xf numFmtId="0" fontId="83" fillId="0" borderId="0" xfId="0" applyFont="1" applyAlignment="1" applyProtection="1">
      <alignment horizontal="center" vertical="center"/>
      <protection hidden="1"/>
    </xf>
    <xf numFmtId="0" fontId="176" fillId="0" borderId="0" xfId="0" applyFont="1" applyAlignment="1" applyProtection="1">
      <alignment horizontal="center" vertical="center"/>
      <protection hidden="1"/>
    </xf>
    <xf numFmtId="0" fontId="87" fillId="0" borderId="4" xfId="0" applyFont="1" applyBorder="1" applyAlignment="1" applyProtection="1">
      <alignment horizontal="center" vertical="center" wrapText="1"/>
      <protection hidden="1"/>
    </xf>
    <xf numFmtId="0" fontId="86" fillId="0" borderId="4" xfId="0" applyFont="1" applyBorder="1" applyAlignment="1" applyProtection="1">
      <alignment horizontal="center" vertical="center" wrapText="1"/>
      <protection hidden="1"/>
    </xf>
    <xf numFmtId="0" fontId="87" fillId="25" borderId="4" xfId="0" applyFont="1" applyFill="1" applyBorder="1" applyAlignment="1" applyProtection="1">
      <alignment horizontal="center" vertical="center"/>
      <protection hidden="1"/>
    </xf>
    <xf numFmtId="0" fontId="178" fillId="25" borderId="4" xfId="0" applyFont="1" applyFill="1" applyBorder="1" applyAlignment="1" applyProtection="1">
      <alignment horizontal="center" vertical="center"/>
      <protection hidden="1"/>
    </xf>
    <xf numFmtId="0" fontId="89" fillId="25" borderId="93" xfId="0" applyFont="1" applyFill="1" applyBorder="1" applyAlignment="1" applyProtection="1">
      <alignment horizontal="center" vertical="center" wrapText="1"/>
      <protection hidden="1"/>
    </xf>
    <xf numFmtId="175" fontId="91" fillId="0" borderId="4" xfId="2" applyNumberFormat="1" applyFont="1" applyFill="1" applyBorder="1" applyAlignment="1" applyProtection="1">
      <alignment horizontal="center" vertical="center"/>
      <protection hidden="1"/>
    </xf>
    <xf numFmtId="0" fontId="0" fillId="0" borderId="4" xfId="0" applyBorder="1" applyAlignment="1" applyProtection="1">
      <alignment horizontal="left" vertical="center" wrapText="1"/>
      <protection hidden="1"/>
    </xf>
    <xf numFmtId="0" fontId="71" fillId="0" borderId="4" xfId="0" applyFont="1" applyBorder="1" applyAlignment="1" applyProtection="1">
      <alignment horizontal="left" vertical="center" wrapText="1"/>
      <protection hidden="1"/>
    </xf>
    <xf numFmtId="0" fontId="0" fillId="0" borderId="0" xfId="0" applyAlignment="1" applyProtection="1">
      <alignment horizontal="center" vertical="top" wrapText="1"/>
      <protection hidden="1"/>
    </xf>
    <xf numFmtId="0" fontId="59" fillId="12" borderId="4" xfId="0" applyFont="1" applyFill="1" applyBorder="1" applyAlignment="1" applyProtection="1">
      <alignment horizontal="center" vertical="center" wrapText="1"/>
      <protection hidden="1"/>
    </xf>
    <xf numFmtId="0" fontId="59" fillId="12" borderId="9" xfId="0" applyFont="1" applyFill="1" applyBorder="1" applyAlignment="1" applyProtection="1">
      <alignment horizontal="center" vertical="center" wrapText="1"/>
      <protection hidden="1"/>
    </xf>
    <xf numFmtId="0" fontId="59" fillId="6" borderId="4" xfId="0" applyFont="1" applyFill="1" applyBorder="1" applyAlignment="1" applyProtection="1">
      <alignment horizontal="center" vertical="center" wrapText="1"/>
      <protection hidden="1"/>
    </xf>
    <xf numFmtId="0" fontId="59" fillId="6" borderId="9" xfId="0" applyFont="1" applyFill="1" applyBorder="1" applyAlignment="1" applyProtection="1">
      <alignment horizontal="center" vertical="center" wrapText="1"/>
      <protection hidden="1"/>
    </xf>
    <xf numFmtId="0" fontId="59" fillId="46" borderId="4" xfId="0" applyFont="1" applyFill="1" applyBorder="1" applyAlignment="1" applyProtection="1">
      <alignment horizontal="center" vertical="center" wrapText="1"/>
      <protection hidden="1"/>
    </xf>
    <xf numFmtId="0" fontId="92" fillId="0" borderId="13" xfId="0" applyFont="1" applyBorder="1" applyAlignment="1" applyProtection="1">
      <alignment horizontal="left" vertical="top" wrapText="1"/>
      <protection hidden="1"/>
    </xf>
    <xf numFmtId="0" fontId="179" fillId="0" borderId="13" xfId="0" applyFont="1" applyBorder="1" applyAlignment="1" applyProtection="1">
      <alignment horizontal="left" vertical="top" wrapText="1"/>
      <protection hidden="1"/>
    </xf>
    <xf numFmtId="0" fontId="83" fillId="25" borderId="4" xfId="0" applyFont="1" applyFill="1" applyBorder="1" applyAlignment="1" applyProtection="1">
      <alignment horizontal="center" vertical="center" wrapText="1"/>
      <protection hidden="1"/>
    </xf>
    <xf numFmtId="0" fontId="83" fillId="25" borderId="93" xfId="0" applyFont="1" applyFill="1" applyBorder="1" applyAlignment="1" applyProtection="1">
      <alignment horizontal="center" vertical="center"/>
      <protection hidden="1"/>
    </xf>
    <xf numFmtId="0" fontId="59" fillId="25" borderId="93" xfId="0" applyFont="1" applyFill="1" applyBorder="1" applyAlignment="1" applyProtection="1">
      <alignment horizontal="center" vertical="center"/>
      <protection hidden="1"/>
    </xf>
    <xf numFmtId="0" fontId="59" fillId="25" borderId="4" xfId="0" applyFont="1" applyFill="1" applyBorder="1" applyAlignment="1" applyProtection="1">
      <alignment horizontal="center" vertical="center" wrapText="1"/>
      <protection hidden="1"/>
    </xf>
    <xf numFmtId="0" fontId="93" fillId="25" borderId="4" xfId="0" applyFont="1" applyFill="1" applyBorder="1" applyAlignment="1" applyProtection="1">
      <alignment horizontal="center" vertical="center" wrapText="1"/>
      <protection hidden="1"/>
    </xf>
    <xf numFmtId="0" fontId="0" fillId="0" borderId="4" xfId="0" applyBorder="1" applyAlignment="1" applyProtection="1">
      <alignment vertical="center"/>
      <protection hidden="1"/>
    </xf>
    <xf numFmtId="9" fontId="0" fillId="0" borderId="4" xfId="0" applyNumberFormat="1" applyBorder="1" applyAlignment="1" applyProtection="1">
      <alignment horizontal="center" vertical="center"/>
      <protection hidden="1"/>
    </xf>
    <xf numFmtId="0" fontId="0" fillId="0" borderId="9" xfId="0" applyBorder="1" applyAlignment="1" applyProtection="1">
      <alignment vertical="center"/>
      <protection hidden="1"/>
    </xf>
    <xf numFmtId="0" fontId="0" fillId="0" borderId="4" xfId="0" applyBorder="1" applyAlignment="1" applyProtection="1">
      <alignment vertical="center" wrapText="1"/>
      <protection hidden="1"/>
    </xf>
    <xf numFmtId="180" fontId="174" fillId="0" borderId="4" xfId="0" applyNumberFormat="1" applyFont="1" applyBorder="1" applyAlignment="1" applyProtection="1">
      <alignment vertical="center" wrapText="1"/>
      <protection hidden="1"/>
    </xf>
    <xf numFmtId="41" fontId="174" fillId="0" borderId="4" xfId="19" applyFont="1" applyBorder="1" applyAlignment="1" applyProtection="1">
      <alignment vertical="center"/>
      <protection hidden="1"/>
    </xf>
    <xf numFmtId="0" fontId="174" fillId="0" borderId="4" xfId="0" applyFont="1" applyBorder="1" applyAlignment="1" applyProtection="1">
      <alignment vertical="center" wrapText="1"/>
      <protection hidden="1"/>
    </xf>
    <xf numFmtId="0" fontId="87" fillId="25" borderId="4" xfId="0" applyFont="1" applyFill="1" applyBorder="1" applyAlignment="1" applyProtection="1">
      <alignment horizontal="center" vertical="center"/>
      <protection locked="0"/>
    </xf>
    <xf numFmtId="0" fontId="82" fillId="25" borderId="4" xfId="0" applyFont="1" applyFill="1" applyBorder="1" applyAlignment="1" applyProtection="1">
      <alignment horizontal="center" vertical="center"/>
      <protection locked="0"/>
    </xf>
    <xf numFmtId="0" fontId="91" fillId="20" borderId="4" xfId="0" applyFont="1" applyFill="1" applyBorder="1" applyAlignment="1" applyProtection="1">
      <alignment horizontal="center" vertical="center"/>
      <protection locked="0"/>
    </xf>
    <xf numFmtId="0" fontId="176" fillId="20" borderId="4" xfId="0" applyFont="1" applyFill="1" applyBorder="1" applyAlignment="1" applyProtection="1">
      <alignment horizontal="center" vertical="center"/>
      <protection locked="0"/>
    </xf>
    <xf numFmtId="184" fontId="59" fillId="0" borderId="4" xfId="0" applyNumberFormat="1"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1" fillId="64" borderId="29" xfId="33" applyFont="1" applyFill="1" applyBorder="1" applyAlignment="1" applyProtection="1">
      <alignment horizontal="center" vertical="center" wrapText="1"/>
      <protection hidden="1"/>
    </xf>
    <xf numFmtId="0" fontId="51" fillId="64" borderId="20" xfId="33" applyFont="1" applyFill="1" applyBorder="1" applyAlignment="1" applyProtection="1">
      <alignment horizontal="center" vertical="center" wrapText="1"/>
      <protection hidden="1"/>
    </xf>
    <xf numFmtId="0" fontId="51" fillId="64" borderId="28" xfId="33" applyFont="1" applyFill="1" applyBorder="1" applyAlignment="1" applyProtection="1">
      <alignment horizontal="center" vertical="center" wrapText="1"/>
      <protection hidden="1"/>
    </xf>
    <xf numFmtId="0" fontId="116" fillId="0" borderId="10" xfId="5" applyFont="1" applyBorder="1" applyAlignment="1" applyProtection="1">
      <alignment horizontal="center" vertical="center" wrapText="1"/>
      <protection hidden="1"/>
    </xf>
    <xf numFmtId="0" fontId="53" fillId="0" borderId="11" xfId="5" applyFont="1" applyBorder="1" applyAlignment="1" applyProtection="1">
      <alignment horizontal="justify" vertical="center" wrapText="1"/>
      <protection hidden="1"/>
    </xf>
    <xf numFmtId="0" fontId="53" fillId="0" borderId="11" xfId="5" applyFont="1" applyBorder="1" applyAlignment="1" applyProtection="1">
      <alignment horizontal="center" vertical="center" wrapText="1"/>
      <protection hidden="1"/>
    </xf>
    <xf numFmtId="10" fontId="109" fillId="0" borderId="12" xfId="5" applyNumberFormat="1" applyFont="1" applyBorder="1" applyAlignment="1" applyProtection="1">
      <alignment horizontal="center" vertical="center"/>
      <protection hidden="1"/>
    </xf>
    <xf numFmtId="0" fontId="116" fillId="0" borderId="16" xfId="5" applyFont="1" applyBorder="1" applyAlignment="1" applyProtection="1">
      <alignment horizontal="center" vertical="center" wrapText="1"/>
      <protection hidden="1"/>
    </xf>
    <xf numFmtId="0" fontId="53" fillId="0" borderId="4" xfId="5" applyFont="1" applyBorder="1" applyAlignment="1" applyProtection="1">
      <alignment horizontal="justify" vertical="center" wrapText="1"/>
      <protection hidden="1"/>
    </xf>
    <xf numFmtId="0" fontId="53" fillId="0" borderId="4" xfId="5" applyFont="1" applyBorder="1" applyAlignment="1" applyProtection="1">
      <alignment horizontal="center" vertical="center" wrapText="1"/>
      <protection hidden="1"/>
    </xf>
    <xf numFmtId="10" fontId="109" fillId="0" borderId="17" xfId="5" applyNumberFormat="1" applyFont="1" applyBorder="1" applyAlignment="1" applyProtection="1">
      <alignment horizontal="center" vertical="center"/>
      <protection hidden="1"/>
    </xf>
    <xf numFmtId="0" fontId="27" fillId="0" borderId="16" xfId="5" applyFont="1" applyBorder="1" applyAlignment="1" applyProtection="1">
      <alignment horizontal="center" vertical="center" wrapText="1"/>
      <protection hidden="1"/>
    </xf>
    <xf numFmtId="0" fontId="9" fillId="0" borderId="4" xfId="5" applyFont="1" applyBorder="1" applyAlignment="1" applyProtection="1">
      <alignment horizontal="justify" vertical="center" wrapText="1"/>
      <protection hidden="1"/>
    </xf>
    <xf numFmtId="0" fontId="9" fillId="0" borderId="4" xfId="5" applyFont="1" applyBorder="1" applyAlignment="1" applyProtection="1">
      <alignment horizontal="center" vertical="center" wrapText="1"/>
      <protection hidden="1"/>
    </xf>
    <xf numFmtId="0" fontId="116" fillId="0" borderId="25" xfId="5" applyFont="1" applyBorder="1" applyAlignment="1" applyProtection="1">
      <alignment horizontal="center" vertical="center" wrapText="1"/>
      <protection hidden="1"/>
    </xf>
    <xf numFmtId="0" fontId="53" fillId="0" borderId="22" xfId="5" applyFont="1" applyBorder="1" applyAlignment="1" applyProtection="1">
      <alignment horizontal="justify" vertical="center" wrapText="1"/>
      <protection hidden="1"/>
    </xf>
    <xf numFmtId="0" fontId="53" fillId="0" borderId="22" xfId="5" applyFont="1" applyBorder="1" applyAlignment="1" applyProtection="1">
      <alignment horizontal="center" vertical="center" wrapText="1"/>
      <protection hidden="1"/>
    </xf>
    <xf numFmtId="10" fontId="109" fillId="0" borderId="23" xfId="5" applyNumberFormat="1" applyFont="1" applyBorder="1" applyAlignment="1" applyProtection="1">
      <alignment horizontal="center" vertical="center"/>
      <protection hidden="1"/>
    </xf>
    <xf numFmtId="0" fontId="116" fillId="0" borderId="11" xfId="5" applyFont="1" applyBorder="1" applyAlignment="1" applyProtection="1">
      <alignment horizontal="justify" vertical="center" wrapText="1"/>
      <protection hidden="1"/>
    </xf>
    <xf numFmtId="0" fontId="65" fillId="0" borderId="11" xfId="5" applyFont="1" applyBorder="1" applyAlignment="1" applyProtection="1">
      <alignment vertical="center" wrapText="1"/>
      <protection hidden="1"/>
    </xf>
    <xf numFmtId="0" fontId="53" fillId="0" borderId="11" xfId="5" applyFont="1" applyBorder="1" applyAlignment="1" applyProtection="1">
      <alignment vertical="center" wrapText="1"/>
      <protection hidden="1"/>
    </xf>
    <xf numFmtId="10" fontId="53" fillId="15" borderId="4" xfId="2" applyNumberFormat="1" applyFont="1" applyFill="1" applyBorder="1" applyAlignment="1" applyProtection="1">
      <alignment horizontal="center" vertical="center" wrapText="1"/>
      <protection locked="0"/>
    </xf>
    <xf numFmtId="9" fontId="53" fillId="15" borderId="4" xfId="2" applyFont="1" applyFill="1" applyBorder="1" applyAlignment="1" applyProtection="1">
      <alignment horizontal="center" vertical="center" wrapText="1"/>
      <protection locked="0"/>
    </xf>
    <xf numFmtId="10" fontId="53" fillId="15" borderId="22" xfId="2" applyNumberFormat="1" applyFont="1" applyFill="1" applyBorder="1" applyAlignment="1" applyProtection="1">
      <alignment horizontal="center" vertical="center" wrapText="1"/>
      <protection locked="0"/>
    </xf>
    <xf numFmtId="10" fontId="53" fillId="15" borderId="11" xfId="2" applyNumberFormat="1" applyFont="1" applyFill="1" applyBorder="1" applyAlignment="1" applyProtection="1">
      <alignment horizontal="center" vertical="center" wrapText="1"/>
      <protection locked="0"/>
    </xf>
    <xf numFmtId="0" fontId="53" fillId="0" borderId="11" xfId="5" applyFont="1" applyBorder="1" applyAlignment="1" applyProtection="1">
      <alignment horizontal="justify" vertical="center" wrapText="1"/>
    </xf>
    <xf numFmtId="0" fontId="53" fillId="0" borderId="4" xfId="5" applyFont="1" applyBorder="1" applyAlignment="1" applyProtection="1">
      <alignment horizontal="justify" vertical="center" wrapText="1"/>
    </xf>
    <xf numFmtId="0" fontId="9" fillId="0" borderId="4" xfId="5" applyFont="1" applyBorder="1" applyAlignment="1" applyProtection="1">
      <alignment horizontal="justify" vertical="center" wrapText="1"/>
    </xf>
    <xf numFmtId="0" fontId="53" fillId="0" borderId="22" xfId="5" applyFont="1" applyBorder="1" applyAlignment="1" applyProtection="1">
      <alignment horizontal="justify" vertical="center" wrapText="1"/>
    </xf>
    <xf numFmtId="0" fontId="116" fillId="0" borderId="11" xfId="5" applyFont="1" applyBorder="1" applyAlignment="1" applyProtection="1">
      <alignment horizontal="center" vertical="center" wrapText="1"/>
    </xf>
    <xf numFmtId="0" fontId="25" fillId="29" borderId="137" xfId="0" applyFont="1" applyFill="1" applyBorder="1" applyAlignment="1" applyProtection="1">
      <alignment horizontal="center" vertical="center" wrapText="1"/>
      <protection hidden="1"/>
    </xf>
    <xf numFmtId="0" fontId="25" fillId="29" borderId="134" xfId="0" applyFont="1" applyFill="1" applyBorder="1" applyAlignment="1" applyProtection="1">
      <alignment horizontal="center" vertical="center" wrapText="1"/>
      <protection hidden="1"/>
    </xf>
    <xf numFmtId="0" fontId="25" fillId="29" borderId="51" xfId="0" applyFont="1" applyFill="1" applyBorder="1" applyAlignment="1" applyProtection="1">
      <alignment horizontal="center" vertical="center" wrapText="1"/>
      <protection hidden="1"/>
    </xf>
    <xf numFmtId="0" fontId="25" fillId="29" borderId="131" xfId="0" applyFont="1" applyFill="1" applyBorder="1" applyAlignment="1" applyProtection="1">
      <alignment horizontal="center" vertical="center" wrapText="1"/>
      <protection hidden="1"/>
    </xf>
    <xf numFmtId="0" fontId="14" fillId="0" borderId="137" xfId="0" applyFont="1" applyBorder="1" applyAlignment="1" applyProtection="1">
      <alignment horizontal="center" vertical="center"/>
      <protection hidden="1"/>
    </xf>
    <xf numFmtId="0" fontId="36" fillId="14" borderId="138" xfId="0" applyFont="1" applyFill="1" applyBorder="1" applyAlignment="1" applyProtection="1">
      <alignment vertical="center" wrapText="1"/>
      <protection locked="0"/>
    </xf>
    <xf numFmtId="0" fontId="14" fillId="0" borderId="138" xfId="0" applyFont="1" applyBorder="1" applyAlignment="1" applyProtection="1">
      <alignment horizontal="left" vertical="center" wrapText="1"/>
      <protection locked="0"/>
    </xf>
    <xf numFmtId="0" fontId="25" fillId="29" borderId="138" xfId="0" applyFont="1" applyFill="1" applyBorder="1" applyAlignment="1" applyProtection="1">
      <alignment horizontal="center" vertical="center" wrapText="1"/>
      <protection locked="0"/>
    </xf>
    <xf numFmtId="44" fontId="14" fillId="20" borderId="138" xfId="14" applyFont="1" applyFill="1" applyBorder="1" applyAlignment="1" applyProtection="1">
      <alignment vertical="center"/>
      <protection locked="0"/>
    </xf>
    <xf numFmtId="0" fontId="36" fillId="14" borderId="47" xfId="0" applyFont="1" applyFill="1" applyBorder="1" applyAlignment="1" applyProtection="1">
      <alignment vertical="center" wrapText="1"/>
      <protection locked="0"/>
    </xf>
    <xf numFmtId="44" fontId="14" fillId="20" borderId="24" xfId="14" applyFont="1" applyFill="1" applyBorder="1" applyAlignment="1" applyProtection="1">
      <alignment vertical="center"/>
      <protection locked="0"/>
    </xf>
    <xf numFmtId="0" fontId="36" fillId="14" borderId="24" xfId="0" applyFont="1" applyFill="1" applyBorder="1" applyAlignment="1" applyProtection="1">
      <alignment horizontal="justify" vertical="center" wrapText="1"/>
      <protection locked="0"/>
    </xf>
    <xf numFmtId="0" fontId="36" fillId="14" borderId="138" xfId="0" applyFont="1" applyFill="1" applyBorder="1" applyAlignment="1" applyProtection="1">
      <alignment horizontal="justify" vertical="center" wrapText="1"/>
      <protection locked="0"/>
    </xf>
    <xf numFmtId="44" fontId="14" fillId="20" borderId="14" xfId="14" applyFont="1" applyFill="1" applyBorder="1" applyAlignment="1" applyProtection="1">
      <alignment vertical="center"/>
      <protection locked="0"/>
    </xf>
    <xf numFmtId="0" fontId="14" fillId="14" borderId="7" xfId="0" applyFont="1" applyFill="1" applyBorder="1" applyAlignment="1" applyProtection="1">
      <alignment horizontal="left" vertical="center" wrapText="1"/>
      <protection locked="0"/>
    </xf>
    <xf numFmtId="44" fontId="14" fillId="20" borderId="7" xfId="14" applyFont="1" applyFill="1" applyBorder="1" applyAlignment="1" applyProtection="1">
      <alignment vertical="center"/>
      <protection locked="0"/>
    </xf>
    <xf numFmtId="0" fontId="14" fillId="14" borderId="138" xfId="0" applyFont="1" applyFill="1" applyBorder="1" applyAlignment="1" applyProtection="1">
      <alignment horizontal="left" vertical="center" wrapText="1"/>
      <protection locked="0"/>
    </xf>
    <xf numFmtId="0" fontId="14" fillId="14" borderId="24" xfId="0" applyFont="1" applyFill="1" applyBorder="1" applyAlignment="1" applyProtection="1">
      <alignment horizontal="left" vertical="center" wrapText="1"/>
      <protection locked="0"/>
    </xf>
    <xf numFmtId="0" fontId="14" fillId="29" borderId="138" xfId="0" applyFont="1" applyFill="1" applyBorder="1" applyAlignment="1" applyProtection="1">
      <alignment horizontal="left" vertical="center" wrapText="1"/>
      <protection locked="0"/>
    </xf>
    <xf numFmtId="0" fontId="14" fillId="29" borderId="47" xfId="0" applyFont="1" applyFill="1" applyBorder="1" applyAlignment="1" applyProtection="1">
      <alignment horizontal="left" vertical="center" wrapText="1"/>
      <protection locked="0"/>
    </xf>
    <xf numFmtId="0" fontId="14" fillId="29" borderId="24" xfId="0" applyFont="1" applyFill="1" applyBorder="1" applyAlignment="1" applyProtection="1">
      <alignment horizontal="left" vertical="center" wrapText="1"/>
      <protection locked="0"/>
    </xf>
    <xf numFmtId="0" fontId="14" fillId="29" borderId="7" xfId="0" applyFont="1" applyFill="1" applyBorder="1" applyAlignment="1" applyProtection="1">
      <alignment horizontal="left" vertical="center" wrapText="1"/>
      <protection locked="0"/>
    </xf>
    <xf numFmtId="0" fontId="25" fillId="20" borderId="138" xfId="0" applyFont="1" applyFill="1" applyBorder="1" applyAlignment="1" applyProtection="1">
      <alignment horizontal="left" vertical="center"/>
      <protection locked="0"/>
    </xf>
    <xf numFmtId="0" fontId="14" fillId="20" borderId="139" xfId="0" applyFont="1" applyFill="1" applyBorder="1" applyAlignment="1" applyProtection="1">
      <alignment horizontal="center" vertical="center"/>
      <protection locked="0"/>
    </xf>
    <xf numFmtId="0" fontId="25" fillId="0" borderId="101" xfId="0" applyFont="1" applyBorder="1" applyAlignment="1" applyProtection="1">
      <alignment horizontal="left" vertical="center" wrapText="1"/>
      <protection locked="0"/>
    </xf>
    <xf numFmtId="0" fontId="25" fillId="20" borderId="47" xfId="0" applyFont="1" applyFill="1" applyBorder="1" applyAlignment="1" applyProtection="1">
      <alignment horizontal="left" vertical="center"/>
      <protection locked="0"/>
    </xf>
    <xf numFmtId="0" fontId="14" fillId="20" borderId="47" xfId="0" applyFont="1" applyFill="1" applyBorder="1" applyAlignment="1" applyProtection="1">
      <alignment horizontal="center" vertical="center"/>
      <protection locked="0"/>
    </xf>
    <xf numFmtId="0" fontId="25" fillId="0" borderId="139" xfId="0" applyFont="1" applyBorder="1" applyAlignment="1" applyProtection="1">
      <alignment horizontal="left" vertical="center" wrapText="1"/>
      <protection locked="0"/>
    </xf>
    <xf numFmtId="0" fontId="25" fillId="20" borderId="24" xfId="0" applyFont="1" applyFill="1" applyBorder="1" applyAlignment="1" applyProtection="1">
      <alignment horizontal="left" vertical="center"/>
      <protection locked="0"/>
    </xf>
    <xf numFmtId="0" fontId="14" fillId="20" borderId="24" xfId="0" applyFont="1" applyFill="1" applyBorder="1" applyAlignment="1" applyProtection="1">
      <alignment horizontal="center" vertical="center"/>
      <protection locked="0"/>
    </xf>
    <xf numFmtId="0" fontId="25" fillId="0" borderId="133" xfId="0" applyFont="1" applyBorder="1" applyAlignment="1" applyProtection="1">
      <alignment horizontal="left" vertical="center" wrapText="1"/>
      <protection locked="0"/>
    </xf>
    <xf numFmtId="0" fontId="14" fillId="20" borderId="138" xfId="0" applyFont="1" applyFill="1" applyBorder="1" applyAlignment="1" applyProtection="1">
      <alignment horizontal="center" vertical="center"/>
      <protection locked="0"/>
    </xf>
    <xf numFmtId="0" fontId="25" fillId="20" borderId="7" xfId="0" applyFont="1" applyFill="1" applyBorder="1" applyAlignment="1" applyProtection="1">
      <alignment horizontal="left" vertical="center"/>
      <protection locked="0"/>
    </xf>
    <xf numFmtId="0" fontId="14" fillId="20" borderId="7" xfId="0" applyFont="1" applyFill="1" applyBorder="1" applyAlignment="1" applyProtection="1">
      <alignment horizontal="center" vertical="center"/>
      <protection locked="0"/>
    </xf>
    <xf numFmtId="0" fontId="25" fillId="0" borderId="8" xfId="0" applyFont="1" applyBorder="1" applyAlignment="1" applyProtection="1">
      <alignment horizontal="left" vertical="center" wrapText="1"/>
      <protection locked="0"/>
    </xf>
    <xf numFmtId="0" fontId="14" fillId="0" borderId="0" xfId="0" applyFont="1" applyAlignment="1" applyProtection="1">
      <alignment horizontal="left" vertical="center"/>
    </xf>
    <xf numFmtId="0" fontId="14" fillId="0" borderId="0" xfId="0" applyFont="1" applyAlignment="1" applyProtection="1">
      <alignment vertical="center"/>
    </xf>
    <xf numFmtId="0" fontId="14" fillId="0" borderId="0" xfId="0" applyFont="1" applyAlignment="1" applyProtection="1">
      <alignment horizontal="center" vertical="center"/>
    </xf>
    <xf numFmtId="0" fontId="14" fillId="0" borderId="0" xfId="0" applyFont="1" applyAlignment="1" applyProtection="1">
      <alignment horizontal="justify" vertical="center"/>
    </xf>
    <xf numFmtId="172" fontId="23" fillId="64" borderId="131" xfId="24" applyNumberFormat="1" applyFont="1" applyFill="1" applyBorder="1" applyAlignment="1" applyProtection="1">
      <alignment horizontal="center" vertical="center" wrapText="1"/>
      <protection hidden="1"/>
    </xf>
    <xf numFmtId="172" fontId="23" fillId="64" borderId="7" xfId="24" applyNumberFormat="1" applyFont="1" applyFill="1" applyBorder="1" applyAlignment="1" applyProtection="1">
      <alignment horizontal="center" vertical="center"/>
      <protection hidden="1"/>
    </xf>
    <xf numFmtId="172" fontId="23" fillId="64" borderId="7" xfId="24" applyNumberFormat="1" applyFont="1" applyFill="1" applyBorder="1" applyAlignment="1" applyProtection="1">
      <alignment horizontal="center" vertical="center" wrapText="1"/>
      <protection hidden="1"/>
    </xf>
    <xf numFmtId="172" fontId="23" fillId="64" borderId="8" xfId="24" applyNumberFormat="1" applyFont="1" applyFill="1" applyBorder="1" applyAlignment="1" applyProtection="1">
      <alignment horizontal="center" vertical="center"/>
      <protection hidden="1"/>
    </xf>
    <xf numFmtId="172" fontId="23" fillId="64" borderId="45" xfId="4" applyNumberFormat="1" applyFont="1" applyFill="1" applyBorder="1" applyAlignment="1" applyProtection="1">
      <alignment horizontal="center" vertical="center" wrapText="1"/>
      <protection hidden="1"/>
    </xf>
    <xf numFmtId="172" fontId="23" fillId="64" borderId="45" xfId="24" applyNumberFormat="1" applyFont="1" applyFill="1" applyBorder="1" applyAlignment="1" applyProtection="1">
      <alignment horizontal="center" vertical="center" wrapText="1"/>
      <protection hidden="1"/>
    </xf>
    <xf numFmtId="0" fontId="25" fillId="47" borderId="4" xfId="0" applyFont="1" applyFill="1" applyBorder="1" applyAlignment="1" applyProtection="1">
      <alignment vertical="center" wrapText="1"/>
      <protection hidden="1"/>
    </xf>
    <xf numFmtId="0" fontId="14" fillId="47" borderId="4" xfId="0" applyFont="1" applyFill="1" applyBorder="1" applyAlignment="1" applyProtection="1">
      <alignment horizontal="center" vertical="center"/>
      <protection hidden="1"/>
    </xf>
    <xf numFmtId="10" fontId="25" fillId="47" borderId="4" xfId="0" applyNumberFormat="1" applyFont="1" applyFill="1" applyBorder="1" applyAlignment="1" applyProtection="1">
      <alignment horizontal="center" vertical="center"/>
      <protection hidden="1"/>
    </xf>
    <xf numFmtId="10" fontId="25" fillId="46" borderId="4" xfId="0" applyNumberFormat="1" applyFont="1" applyFill="1" applyBorder="1" applyAlignment="1" applyProtection="1">
      <alignment horizontal="center" vertical="center"/>
      <protection hidden="1"/>
    </xf>
    <xf numFmtId="0" fontId="14" fillId="46" borderId="4" xfId="0" applyFont="1" applyFill="1" applyBorder="1" applyAlignment="1" applyProtection="1">
      <alignment horizontal="center" vertical="center"/>
      <protection hidden="1"/>
    </xf>
    <xf numFmtId="10" fontId="19" fillId="0" borderId="4" xfId="0" applyNumberFormat="1" applyFont="1" applyBorder="1" applyAlignment="1" applyProtection="1">
      <alignment horizontal="center" vertical="center"/>
      <protection hidden="1"/>
    </xf>
    <xf numFmtId="0" fontId="19" fillId="0" borderId="14" xfId="0" applyFont="1" applyBorder="1" applyAlignment="1" applyProtection="1">
      <alignment horizontal="center" vertical="center"/>
      <protection hidden="1"/>
    </xf>
    <xf numFmtId="9" fontId="14" fillId="0" borderId="0" xfId="2" applyFont="1" applyAlignment="1" applyProtection="1">
      <alignment vertical="center"/>
      <protection hidden="1"/>
    </xf>
    <xf numFmtId="0" fontId="25" fillId="34" borderId="4" xfId="0" applyFont="1" applyFill="1" applyBorder="1" applyAlignment="1" applyProtection="1">
      <alignment horizontal="justify" vertical="center"/>
      <protection hidden="1"/>
    </xf>
    <xf numFmtId="2" fontId="25" fillId="0" borderId="4" xfId="0" applyNumberFormat="1" applyFont="1" applyBorder="1" applyAlignment="1" applyProtection="1">
      <alignment horizontal="center" vertical="center"/>
      <protection hidden="1"/>
    </xf>
    <xf numFmtId="49" fontId="25" fillId="34" borderId="4" xfId="0" applyNumberFormat="1" applyFont="1" applyFill="1" applyBorder="1" applyAlignment="1" applyProtection="1">
      <alignment horizontal="justify" vertical="center"/>
      <protection hidden="1"/>
    </xf>
    <xf numFmtId="0" fontId="25" fillId="14" borderId="4" xfId="0" applyFont="1" applyFill="1" applyBorder="1" applyAlignment="1" applyProtection="1">
      <alignment horizontal="center" vertical="center" wrapText="1"/>
      <protection hidden="1"/>
    </xf>
    <xf numFmtId="0" fontId="25" fillId="0" borderId="0" xfId="0" applyFont="1" applyAlignment="1" applyProtection="1">
      <alignment horizontal="justify" vertical="center"/>
      <protection hidden="1"/>
    </xf>
    <xf numFmtId="9" fontId="22" fillId="0" borderId="54" xfId="2" applyFont="1" applyBorder="1" applyAlignment="1" applyProtection="1">
      <alignment horizontal="center" vertical="center"/>
      <protection hidden="1"/>
    </xf>
    <xf numFmtId="0" fontId="14" fillId="0" borderId="0" xfId="0" applyFont="1" applyAlignment="1" applyProtection="1">
      <alignment horizontal="justify" vertical="center"/>
      <protection hidden="1"/>
    </xf>
    <xf numFmtId="0" fontId="55" fillId="64" borderId="40" xfId="0" applyFont="1" applyFill="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40" fillId="0" borderId="19" xfId="0" applyFont="1" applyBorder="1" applyAlignment="1" applyProtection="1">
      <alignment horizontal="center" vertical="center" wrapText="1"/>
      <protection hidden="1"/>
    </xf>
    <xf numFmtId="0" fontId="116" fillId="0" borderId="19" xfId="0" applyFont="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 fillId="12" borderId="9" xfId="0" applyFont="1" applyFill="1" applyBorder="1" applyAlignment="1" applyProtection="1">
      <alignment horizontal="center" vertical="center" wrapText="1"/>
      <protection locked="0"/>
    </xf>
    <xf numFmtId="0" fontId="1" fillId="12" borderId="4" xfId="0" applyFont="1" applyFill="1" applyBorder="1" applyAlignment="1" applyProtection="1">
      <alignment horizontal="center" vertical="center" wrapText="1"/>
      <protection locked="0"/>
    </xf>
    <xf numFmtId="0" fontId="132" fillId="9" borderId="4" xfId="5" applyFont="1" applyFill="1" applyBorder="1" applyAlignment="1" applyProtection="1">
      <alignment vertical="center" wrapText="1"/>
      <protection locked="0"/>
    </xf>
    <xf numFmtId="0" fontId="53" fillId="9" borderId="4" xfId="5" applyFont="1" applyFill="1" applyBorder="1" applyAlignment="1" applyProtection="1">
      <alignment vertical="center" wrapText="1"/>
      <protection locked="0"/>
    </xf>
    <xf numFmtId="0" fontId="53" fillId="9" borderId="4" xfId="5" applyFont="1" applyFill="1" applyBorder="1" applyAlignment="1" applyProtection="1">
      <alignment horizontal="center" vertical="center" wrapText="1"/>
      <protection locked="0"/>
    </xf>
    <xf numFmtId="10" fontId="9" fillId="9" borderId="4" xfId="5" applyNumberFormat="1" applyFont="1" applyFill="1" applyBorder="1" applyAlignment="1" applyProtection="1">
      <alignment horizontal="center" vertical="center" wrapText="1"/>
      <protection locked="0"/>
    </xf>
    <xf numFmtId="0" fontId="53" fillId="70" borderId="4" xfId="5" applyFont="1" applyFill="1" applyBorder="1" applyAlignment="1" applyProtection="1">
      <alignment horizontal="center" vertical="center" wrapText="1"/>
      <protection locked="0"/>
    </xf>
    <xf numFmtId="9" fontId="53" fillId="70" borderId="4" xfId="5" applyNumberFormat="1" applyFont="1" applyFill="1" applyBorder="1" applyAlignment="1" applyProtection="1">
      <alignment horizontal="center" vertical="center" wrapText="1"/>
      <protection locked="0"/>
    </xf>
    <xf numFmtId="10" fontId="9" fillId="70" borderId="4" xfId="5" applyNumberFormat="1" applyFont="1" applyFill="1" applyBorder="1" applyAlignment="1" applyProtection="1">
      <alignment horizontal="center" vertical="center" wrapText="1"/>
      <protection locked="0"/>
    </xf>
    <xf numFmtId="0" fontId="128" fillId="9" borderId="4" xfId="5" applyFont="1" applyFill="1" applyBorder="1" applyAlignment="1" applyProtection="1">
      <alignment vertical="center" wrapText="1"/>
      <protection locked="0"/>
    </xf>
    <xf numFmtId="172" fontId="9" fillId="9" borderId="4" xfId="18" applyNumberFormat="1" applyFont="1" applyFill="1" applyBorder="1" applyAlignment="1" applyProtection="1">
      <alignment horizontal="center" vertical="center" wrapText="1"/>
      <protection locked="0"/>
    </xf>
    <xf numFmtId="0" fontId="53" fillId="9" borderId="4" xfId="5" applyFont="1" applyFill="1" applyBorder="1" applyAlignment="1" applyProtection="1">
      <alignment horizontal="left" vertical="center" wrapText="1"/>
      <protection locked="0"/>
    </xf>
    <xf numFmtId="0" fontId="14" fillId="13" borderId="33" xfId="0" applyFont="1" applyFill="1" applyBorder="1" applyProtection="1">
      <protection hidden="1"/>
    </xf>
    <xf numFmtId="0" fontId="14" fillId="13" borderId="13" xfId="0" applyFont="1" applyFill="1" applyBorder="1" applyProtection="1">
      <protection hidden="1"/>
    </xf>
    <xf numFmtId="14" fontId="14" fillId="13" borderId="13" xfId="0" applyNumberFormat="1" applyFont="1" applyFill="1" applyBorder="1" applyProtection="1">
      <protection hidden="1"/>
    </xf>
    <xf numFmtId="0" fontId="30" fillId="18" borderId="57" xfId="0" applyFont="1" applyFill="1" applyBorder="1" applyAlignment="1" applyProtection="1">
      <alignment horizontal="center" vertical="center" wrapText="1"/>
      <protection hidden="1"/>
    </xf>
    <xf numFmtId="0" fontId="30" fillId="18" borderId="58" xfId="0" applyFont="1" applyFill="1" applyBorder="1" applyAlignment="1" applyProtection="1">
      <alignment horizontal="center" vertical="center" wrapText="1"/>
      <protection hidden="1"/>
    </xf>
    <xf numFmtId="10" fontId="14" fillId="0" borderId="14" xfId="2" applyNumberFormat="1" applyFont="1" applyFill="1" applyBorder="1" applyProtection="1">
      <protection hidden="1"/>
    </xf>
    <xf numFmtId="10" fontId="14" fillId="0" borderId="24" xfId="2" applyNumberFormat="1" applyFont="1" applyFill="1" applyBorder="1" applyProtection="1">
      <protection hidden="1"/>
    </xf>
    <xf numFmtId="10" fontId="14" fillId="0" borderId="57" xfId="0" applyNumberFormat="1" applyFont="1" applyBorder="1" applyProtection="1">
      <protection hidden="1"/>
    </xf>
    <xf numFmtId="175" fontId="14" fillId="0" borderId="61" xfId="2" applyNumberFormat="1" applyFont="1" applyFill="1" applyBorder="1" applyProtection="1">
      <protection hidden="1"/>
    </xf>
    <xf numFmtId="175" fontId="14" fillId="0" borderId="85" xfId="2" applyNumberFormat="1" applyFont="1" applyFill="1" applyBorder="1" applyProtection="1">
      <protection hidden="1"/>
    </xf>
    <xf numFmtId="175" fontId="14" fillId="0" borderId="58" xfId="2" applyNumberFormat="1" applyFont="1" applyFill="1" applyBorder="1" applyProtection="1">
      <protection hidden="1"/>
    </xf>
    <xf numFmtId="175" fontId="14" fillId="0" borderId="60" xfId="2" applyNumberFormat="1" applyFont="1" applyFill="1" applyBorder="1" applyProtection="1">
      <protection hidden="1"/>
    </xf>
    <xf numFmtId="175" fontId="14" fillId="0" borderId="4" xfId="2" applyNumberFormat="1" applyFont="1" applyFill="1" applyBorder="1" applyProtection="1">
      <protection hidden="1"/>
    </xf>
    <xf numFmtId="175" fontId="14" fillId="0" borderId="20" xfId="2" applyNumberFormat="1" applyFont="1" applyFill="1" applyBorder="1" applyProtection="1">
      <protection hidden="1"/>
    </xf>
    <xf numFmtId="175" fontId="14" fillId="0" borderId="83" xfId="2" applyNumberFormat="1" applyFont="1" applyFill="1" applyBorder="1" applyProtection="1">
      <protection hidden="1"/>
    </xf>
    <xf numFmtId="175" fontId="14" fillId="0" borderId="64" xfId="2" applyNumberFormat="1" applyFont="1" applyFill="1" applyBorder="1" applyProtection="1">
      <protection hidden="1"/>
    </xf>
    <xf numFmtId="175" fontId="14" fillId="0" borderId="67" xfId="2" applyNumberFormat="1" applyFont="1" applyFill="1" applyBorder="1" applyProtection="1">
      <protection hidden="1"/>
    </xf>
    <xf numFmtId="0" fontId="14" fillId="0" borderId="69" xfId="0" applyFont="1" applyBorder="1" applyProtection="1">
      <protection hidden="1"/>
    </xf>
    <xf numFmtId="170" fontId="14" fillId="0" borderId="57" xfId="1" applyFont="1" applyBorder="1" applyProtection="1">
      <protection hidden="1"/>
    </xf>
    <xf numFmtId="9" fontId="14" fillId="0" borderId="57" xfId="2" applyFont="1" applyFill="1" applyBorder="1" applyProtection="1">
      <protection hidden="1"/>
    </xf>
    <xf numFmtId="0" fontId="25" fillId="0" borderId="53" xfId="0" applyFont="1" applyBorder="1" applyAlignment="1" applyProtection="1">
      <alignment horizontal="center"/>
      <protection hidden="1"/>
    </xf>
    <xf numFmtId="169" fontId="14" fillId="0" borderId="53" xfId="17" applyFont="1" applyBorder="1" applyProtection="1">
      <protection hidden="1"/>
    </xf>
    <xf numFmtId="169" fontId="14" fillId="0" borderId="114" xfId="17" applyFont="1" applyBorder="1" applyAlignment="1" applyProtection="1">
      <alignment vertical="center"/>
      <protection hidden="1"/>
    </xf>
    <xf numFmtId="169" fontId="14" fillId="0" borderId="67" xfId="17" applyFont="1" applyBorder="1" applyAlignment="1" applyProtection="1">
      <alignment vertical="center"/>
      <protection hidden="1"/>
    </xf>
    <xf numFmtId="0" fontId="30" fillId="36" borderId="60" xfId="0" applyFont="1" applyFill="1" applyBorder="1" applyAlignment="1" applyProtection="1">
      <alignment horizontal="center" vertical="center" wrapText="1"/>
      <protection hidden="1"/>
    </xf>
    <xf numFmtId="0" fontId="31" fillId="36" borderId="70" xfId="0" applyFont="1" applyFill="1" applyBorder="1" applyAlignment="1" applyProtection="1">
      <alignment horizontal="center" vertical="center" wrapText="1"/>
      <protection hidden="1"/>
    </xf>
    <xf numFmtId="170" fontId="33" fillId="0" borderId="4" xfId="0" applyNumberFormat="1" applyFont="1" applyBorder="1" applyAlignment="1" applyProtection="1">
      <alignment vertical="center" wrapText="1"/>
      <protection hidden="1"/>
    </xf>
    <xf numFmtId="170" fontId="33" fillId="0" borderId="63" xfId="0" applyNumberFormat="1" applyFont="1" applyBorder="1" applyAlignment="1" applyProtection="1">
      <alignment vertical="center" wrapText="1"/>
      <protection hidden="1"/>
    </xf>
    <xf numFmtId="9" fontId="33" fillId="0" borderId="63" xfId="2" applyFont="1" applyBorder="1" applyAlignment="1" applyProtection="1">
      <alignment horizontal="center" vertical="center" wrapText="1"/>
      <protection hidden="1"/>
    </xf>
    <xf numFmtId="169" fontId="33" fillId="0" borderId="4" xfId="0" applyNumberFormat="1" applyFont="1" applyBorder="1" applyAlignment="1" applyProtection="1">
      <alignment vertical="center" wrapText="1"/>
      <protection hidden="1"/>
    </xf>
    <xf numFmtId="169" fontId="33" fillId="0" borderId="63" xfId="0" applyNumberFormat="1" applyFont="1" applyBorder="1" applyAlignment="1" applyProtection="1">
      <alignment vertical="center" wrapText="1"/>
      <protection hidden="1"/>
    </xf>
    <xf numFmtId="167" fontId="33" fillId="0" borderId="4" xfId="0" applyNumberFormat="1" applyFont="1" applyBorder="1" applyAlignment="1" applyProtection="1">
      <alignment vertical="center" wrapText="1"/>
      <protection hidden="1"/>
    </xf>
    <xf numFmtId="175" fontId="33" fillId="0" borderId="63" xfId="2" applyNumberFormat="1" applyFont="1" applyBorder="1" applyAlignment="1" applyProtection="1">
      <alignment horizontal="center" vertical="center" wrapText="1"/>
      <protection hidden="1"/>
    </xf>
    <xf numFmtId="169" fontId="40" fillId="0" borderId="20" xfId="0" applyNumberFormat="1" applyFont="1" applyBorder="1" applyAlignment="1" applyProtection="1">
      <alignment vertical="center" wrapText="1"/>
      <protection hidden="1"/>
    </xf>
    <xf numFmtId="170" fontId="33" fillId="0" borderId="64" xfId="0" applyNumberFormat="1" applyFont="1" applyBorder="1" applyAlignment="1" applyProtection="1">
      <alignment vertical="center" wrapText="1"/>
      <protection hidden="1"/>
    </xf>
    <xf numFmtId="9" fontId="33" fillId="0" borderId="64" xfId="2" applyFont="1" applyBorder="1" applyAlignment="1" applyProtection="1">
      <alignment horizontal="center" vertical="center" wrapText="1"/>
      <protection hidden="1"/>
    </xf>
    <xf numFmtId="170" fontId="33" fillId="0" borderId="71" xfId="0" applyNumberFormat="1" applyFont="1" applyBorder="1" applyAlignment="1" applyProtection="1">
      <alignment vertical="center" wrapText="1"/>
      <protection hidden="1"/>
    </xf>
    <xf numFmtId="170" fontId="33" fillId="0" borderId="54" xfId="0" applyNumberFormat="1" applyFont="1" applyBorder="1" applyAlignment="1" applyProtection="1">
      <alignment vertical="center" wrapText="1"/>
      <protection hidden="1"/>
    </xf>
    <xf numFmtId="9" fontId="33" fillId="0" borderId="54" xfId="2" applyFont="1" applyBorder="1" applyAlignment="1" applyProtection="1">
      <alignment horizontal="center" vertical="center" wrapText="1"/>
      <protection hidden="1"/>
    </xf>
    <xf numFmtId="0" fontId="25" fillId="13" borderId="0" xfId="0" applyFont="1" applyFill="1" applyAlignment="1" applyProtection="1">
      <alignment horizontal="left"/>
      <protection locked="0"/>
    </xf>
    <xf numFmtId="0" fontId="25" fillId="13" borderId="11" xfId="0" applyFont="1" applyFill="1" applyBorder="1" applyProtection="1">
      <protection locked="0"/>
    </xf>
    <xf numFmtId="0" fontId="25" fillId="13" borderId="12" xfId="0" applyFont="1" applyFill="1" applyBorder="1" applyProtection="1">
      <protection locked="0"/>
    </xf>
    <xf numFmtId="0" fontId="14" fillId="13" borderId="0" xfId="0" applyFont="1" applyFill="1" applyAlignment="1" applyProtection="1">
      <alignment horizontal="left"/>
      <protection locked="0"/>
    </xf>
    <xf numFmtId="0" fontId="49" fillId="0" borderId="0" xfId="5" applyFont="1" applyAlignment="1" applyProtection="1">
      <alignment horizontal="center" vertical="center"/>
      <protection hidden="1"/>
    </xf>
    <xf numFmtId="0" fontId="10" fillId="0" borderId="0" xfId="5" applyFont="1" applyAlignment="1" applyProtection="1">
      <alignment horizontal="center" vertical="center"/>
      <protection hidden="1"/>
    </xf>
    <xf numFmtId="9" fontId="49" fillId="0" borderId="0" xfId="7" applyFont="1" applyAlignment="1" applyProtection="1">
      <alignment horizontal="center" vertical="center"/>
      <protection hidden="1"/>
    </xf>
    <xf numFmtId="172" fontId="49" fillId="0" borderId="0" xfId="4" applyNumberFormat="1" applyFont="1" applyAlignment="1" applyProtection="1">
      <alignment horizontal="center" vertical="center"/>
      <protection hidden="1"/>
    </xf>
    <xf numFmtId="172" fontId="49" fillId="0" borderId="0" xfId="4" applyNumberFormat="1" applyFont="1" applyFill="1" applyAlignment="1" applyProtection="1">
      <alignment vertical="center"/>
      <protection hidden="1"/>
    </xf>
    <xf numFmtId="172" fontId="49" fillId="0" borderId="0" xfId="4" applyNumberFormat="1" applyFont="1" applyAlignment="1" applyProtection="1">
      <alignment vertical="center"/>
      <protection hidden="1"/>
    </xf>
    <xf numFmtId="0" fontId="27" fillId="0" borderId="0" xfId="5" applyFont="1" applyAlignment="1" applyProtection="1">
      <alignment horizontal="center" vertical="center" wrapText="1"/>
      <protection hidden="1"/>
    </xf>
    <xf numFmtId="10" fontId="27" fillId="0" borderId="0" xfId="5" applyNumberFormat="1" applyFont="1" applyAlignment="1" applyProtection="1">
      <alignment vertical="center" wrapText="1"/>
      <protection hidden="1"/>
    </xf>
    <xf numFmtId="0" fontId="25" fillId="0" borderId="0" xfId="0" applyFont="1" applyAlignment="1" applyProtection="1">
      <alignment horizontal="left" vertical="center"/>
      <protection hidden="1"/>
    </xf>
    <xf numFmtId="0" fontId="25" fillId="0" borderId="0" xfId="0" applyFont="1" applyAlignment="1" applyProtection="1">
      <alignment horizontal="left" vertical="center" wrapText="1"/>
      <protection hidden="1"/>
    </xf>
    <xf numFmtId="0" fontId="0" fillId="20" borderId="0" xfId="0" applyFill="1"/>
    <xf numFmtId="0" fontId="14" fillId="20" borderId="0" xfId="0" applyFont="1" applyFill="1" applyAlignment="1">
      <alignment horizontal="center"/>
    </xf>
    <xf numFmtId="0" fontId="14" fillId="0" borderId="4" xfId="0" applyFont="1" applyBorder="1" applyAlignment="1" applyProtection="1">
      <alignment horizontal="center" vertical="center"/>
      <protection locked="0"/>
    </xf>
    <xf numFmtId="0" fontId="0" fillId="0" borderId="0" xfId="0" applyAlignment="1">
      <alignment horizontal="center"/>
    </xf>
    <xf numFmtId="0" fontId="25" fillId="20" borderId="0" xfId="0" applyFont="1" applyFill="1" applyAlignment="1">
      <alignment wrapText="1"/>
    </xf>
    <xf numFmtId="0" fontId="25" fillId="0" borderId="89" xfId="0" applyFont="1" applyBorder="1"/>
    <xf numFmtId="0" fontId="14" fillId="0" borderId="13" xfId="0" applyFont="1" applyBorder="1" applyAlignment="1" applyProtection="1">
      <alignment horizontal="left"/>
      <protection hidden="1"/>
    </xf>
    <xf numFmtId="0" fontId="25" fillId="0" borderId="0" xfId="0" applyFont="1" applyAlignment="1" applyProtection="1">
      <alignment horizontal="center" vertical="center" wrapText="1"/>
      <protection locked="0"/>
    </xf>
    <xf numFmtId="0" fontId="71" fillId="36" borderId="4" xfId="0" applyFont="1" applyFill="1" applyBorder="1" applyAlignment="1" applyProtection="1">
      <alignment horizontal="center" vertical="center"/>
      <protection locked="0"/>
    </xf>
    <xf numFmtId="172" fontId="69" fillId="0" borderId="4" xfId="0" applyNumberFormat="1" applyFont="1" applyFill="1" applyBorder="1" applyAlignment="1">
      <alignment horizontal="right" vertical="center"/>
    </xf>
    <xf numFmtId="175" fontId="69" fillId="0" borderId="4" xfId="2" applyNumberFormat="1" applyFont="1" applyFill="1" applyBorder="1" applyAlignment="1">
      <alignment horizontal="center" vertical="center" wrapText="1"/>
    </xf>
    <xf numFmtId="182" fontId="69" fillId="0" borderId="4" xfId="17" applyNumberFormat="1" applyFont="1" applyBorder="1" applyProtection="1">
      <protection locked="0"/>
    </xf>
    <xf numFmtId="9" fontId="14" fillId="0" borderId="0" xfId="2" applyFont="1" applyProtection="1">
      <protection locked="0"/>
    </xf>
    <xf numFmtId="9" fontId="51" fillId="43" borderId="4" xfId="2" applyFont="1" applyFill="1" applyBorder="1" applyAlignment="1" applyProtection="1">
      <alignment horizontal="center" vertical="center" wrapText="1"/>
      <protection locked="0"/>
    </xf>
    <xf numFmtId="9" fontId="69" fillId="0" borderId="4" xfId="2" applyFont="1" applyBorder="1" applyProtection="1">
      <protection locked="0"/>
    </xf>
    <xf numFmtId="9" fontId="35" fillId="0" borderId="0" xfId="2" applyFont="1" applyAlignment="1" applyProtection="1">
      <alignment vertical="center" wrapText="1"/>
      <protection locked="0"/>
    </xf>
    <xf numFmtId="9" fontId="47" fillId="0" borderId="0" xfId="2" applyFont="1" applyAlignment="1" applyProtection="1">
      <alignment vertical="center"/>
      <protection locked="0"/>
    </xf>
    <xf numFmtId="0" fontId="69" fillId="0" borderId="4" xfId="0" applyFont="1" applyFill="1" applyBorder="1" applyProtection="1">
      <protection locked="0"/>
    </xf>
    <xf numFmtId="182" fontId="14" fillId="0" borderId="0" xfId="0" applyNumberFormat="1" applyFont="1" applyProtection="1">
      <protection locked="0"/>
    </xf>
    <xf numFmtId="172" fontId="14" fillId="0" borderId="0" xfId="0" applyNumberFormat="1" applyFont="1" applyProtection="1">
      <protection locked="0"/>
    </xf>
    <xf numFmtId="182" fontId="69" fillId="0" borderId="0" xfId="17" applyNumberFormat="1" applyFont="1" applyBorder="1" applyProtection="1">
      <protection locked="0"/>
    </xf>
    <xf numFmtId="0" fontId="69" fillId="0" borderId="171"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50" fillId="0" borderId="4" xfId="0" applyNumberFormat="1" applyFont="1" applyFill="1" applyBorder="1" applyAlignment="1">
      <alignment horizontal="center"/>
    </xf>
    <xf numFmtId="0" fontId="50" fillId="0" borderId="4" xfId="0" applyFont="1" applyFill="1" applyBorder="1" applyAlignment="1">
      <alignment horizontal="left"/>
    </xf>
    <xf numFmtId="0" fontId="50" fillId="0" borderId="4" xfId="0" applyFont="1" applyFill="1" applyBorder="1" applyAlignment="1">
      <alignment horizontal="center"/>
    </xf>
    <xf numFmtId="0" fontId="115" fillId="0" borderId="4" xfId="0" applyFont="1" applyFill="1" applyBorder="1" applyAlignment="1"/>
    <xf numFmtId="0" fontId="50" fillId="53" borderId="16" xfId="5" applyFont="1" applyFill="1" applyBorder="1" applyAlignment="1" applyProtection="1">
      <alignment horizontal="center" vertical="center" wrapText="1"/>
      <protection locked="0"/>
    </xf>
    <xf numFmtId="9" fontId="69" fillId="0" borderId="4" xfId="2" applyFont="1" applyBorder="1" applyAlignment="1" applyProtection="1">
      <alignment horizontal="center"/>
      <protection locked="0"/>
    </xf>
    <xf numFmtId="0" fontId="69" fillId="0" borderId="4" xfId="0" applyFont="1" applyBorder="1" applyAlignment="1" applyProtection="1">
      <alignment vertical="justify" wrapText="1"/>
      <protection locked="0"/>
    </xf>
    <xf numFmtId="0" fontId="184" fillId="0" borderId="4" xfId="0" applyFont="1" applyFill="1" applyBorder="1" applyAlignment="1">
      <alignment vertical="justify" wrapText="1"/>
    </xf>
    <xf numFmtId="0" fontId="14" fillId="0" borderId="13" xfId="0" applyFont="1" applyBorder="1" applyAlignment="1" applyProtection="1">
      <alignment horizontal="left"/>
      <protection hidden="1"/>
    </xf>
    <xf numFmtId="0" fontId="69" fillId="0" borderId="4" xfId="0" applyFont="1" applyFill="1" applyBorder="1" applyAlignment="1" applyProtection="1">
      <alignment vertical="justify" wrapText="1"/>
      <protection locked="0"/>
    </xf>
    <xf numFmtId="175" fontId="69" fillId="0" borderId="4" xfId="0" applyNumberFormat="1" applyFont="1" applyBorder="1" applyAlignment="1" applyProtection="1">
      <alignment horizontal="center"/>
      <protection locked="0"/>
    </xf>
    <xf numFmtId="0" fontId="35" fillId="0" borderId="0" xfId="0"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9" fontId="69" fillId="0" borderId="4" xfId="0" applyNumberFormat="1" applyFont="1" applyBorder="1" applyAlignment="1" applyProtection="1">
      <alignment horizontal="center"/>
      <protection locked="0"/>
    </xf>
    <xf numFmtId="182" fontId="69" fillId="0" borderId="4" xfId="17" applyNumberFormat="1" applyFont="1" applyBorder="1" applyAlignment="1" applyProtection="1">
      <alignment horizontal="center"/>
      <protection locked="0"/>
    </xf>
    <xf numFmtId="0" fontId="69" fillId="0" borderId="0" xfId="0" applyFont="1" applyAlignment="1" applyProtection="1">
      <alignment horizontal="center"/>
      <protection hidden="1"/>
    </xf>
    <xf numFmtId="0" fontId="69" fillId="0" borderId="33" xfId="0" applyFont="1" applyBorder="1" applyAlignment="1" applyProtection="1">
      <alignment horizontal="center"/>
      <protection locked="0"/>
    </xf>
    <xf numFmtId="0" fontId="184" fillId="0" borderId="4" xfId="0" applyFont="1" applyBorder="1" applyAlignment="1" applyProtection="1">
      <alignment vertical="center" wrapText="1"/>
      <protection locked="0"/>
    </xf>
    <xf numFmtId="0" fontId="47" fillId="0" borderId="4" xfId="0" applyFont="1" applyBorder="1" applyAlignment="1" applyProtection="1">
      <alignment horizontal="left" vertical="center" wrapText="1"/>
      <protection hidden="1"/>
    </xf>
    <xf numFmtId="0" fontId="60" fillId="0" borderId="0" xfId="0" applyFont="1" applyAlignment="1">
      <alignment horizontal="center" vertical="center" wrapText="1"/>
    </xf>
    <xf numFmtId="0" fontId="14" fillId="0" borderId="13" xfId="0" applyFont="1" applyBorder="1" applyAlignment="1" applyProtection="1">
      <alignment horizontal="left"/>
      <protection hidden="1"/>
    </xf>
    <xf numFmtId="0" fontId="14" fillId="0" borderId="0" xfId="0" applyFont="1" applyAlignment="1" applyProtection="1">
      <alignment horizontal="left" wrapText="1"/>
      <protection hidden="1"/>
    </xf>
    <xf numFmtId="10" fontId="116" fillId="36" borderId="133" xfId="7" applyNumberFormat="1" applyFont="1" applyFill="1" applyBorder="1" applyAlignment="1" applyProtection="1">
      <alignment horizontal="center"/>
      <protection hidden="1"/>
    </xf>
    <xf numFmtId="3" fontId="120" fillId="13" borderId="0" xfId="16" applyNumberFormat="1" applyFont="1" applyFill="1" applyAlignment="1" applyProtection="1">
      <alignment horizontal="center" vertical="center" wrapText="1"/>
    </xf>
    <xf numFmtId="10" fontId="20" fillId="0" borderId="4" xfId="0" applyNumberFormat="1" applyFont="1" applyBorder="1" applyAlignment="1" applyProtection="1">
      <alignment horizontal="center" vertical="center" wrapText="1"/>
      <protection hidden="1"/>
    </xf>
    <xf numFmtId="10" fontId="116" fillId="36" borderId="24" xfId="7" applyNumberFormat="1" applyFont="1" applyFill="1" applyBorder="1" applyAlignment="1" applyProtection="1">
      <alignment horizontal="center" vertical="center"/>
      <protection hidden="1"/>
    </xf>
    <xf numFmtId="9" fontId="28" fillId="15" borderId="129" xfId="7" applyNumberFormat="1" applyFont="1" applyFill="1" applyBorder="1" applyAlignment="1" applyProtection="1">
      <alignment horizontal="center" vertical="center" wrapText="1"/>
      <protection hidden="1"/>
    </xf>
    <xf numFmtId="175" fontId="28" fillId="36" borderId="175" xfId="24" applyNumberFormat="1" applyFont="1" applyFill="1" applyBorder="1" applyAlignment="1" applyProtection="1">
      <alignment horizontal="center" vertical="center" wrapText="1"/>
      <protection hidden="1"/>
    </xf>
    <xf numFmtId="9" fontId="28" fillId="47" borderId="175" xfId="2" applyFont="1" applyFill="1" applyBorder="1" applyAlignment="1" applyProtection="1">
      <alignment horizontal="center" vertical="center"/>
      <protection locked="0"/>
    </xf>
    <xf numFmtId="10" fontId="28" fillId="15" borderId="142" xfId="7" applyNumberFormat="1" applyFont="1" applyFill="1" applyBorder="1" applyAlignment="1" applyProtection="1">
      <alignment horizontal="center" vertical="center"/>
      <protection hidden="1"/>
    </xf>
    <xf numFmtId="0" fontId="66" fillId="0" borderId="176" xfId="0" applyFont="1" applyBorder="1"/>
    <xf numFmtId="0" fontId="66" fillId="0" borderId="177" xfId="0" applyFont="1" applyBorder="1"/>
    <xf numFmtId="0" fontId="25" fillId="0" borderId="9" xfId="0" applyFont="1" applyBorder="1" applyAlignment="1" applyProtection="1">
      <alignment vertical="center" wrapText="1"/>
      <protection locked="0"/>
    </xf>
    <xf numFmtId="0" fontId="25" fillId="0" borderId="13" xfId="0" applyFont="1" applyBorder="1" applyAlignment="1" applyProtection="1">
      <alignment vertical="center" wrapText="1"/>
      <protection locked="0"/>
    </xf>
    <xf numFmtId="0" fontId="25" fillId="0" borderId="4" xfId="0" applyFont="1" applyBorder="1" applyAlignment="1" applyProtection="1">
      <alignment vertical="center" wrapText="1"/>
      <protection locked="0"/>
    </xf>
    <xf numFmtId="0" fontId="66" fillId="0" borderId="0" xfId="0" applyFont="1"/>
    <xf numFmtId="0" fontId="25" fillId="0" borderId="0" xfId="0" applyFont="1" applyAlignment="1" applyProtection="1">
      <alignment horizontal="left" vertical="center" wrapText="1"/>
      <protection hidden="1"/>
    </xf>
    <xf numFmtId="3" fontId="14" fillId="13" borderId="0" xfId="5" applyNumberFormat="1" applyFont="1" applyFill="1" applyAlignment="1" applyProtection="1">
      <alignment vertical="center" wrapText="1"/>
      <protection locked="0"/>
    </xf>
    <xf numFmtId="3" fontId="14" fillId="53" borderId="0" xfId="5" applyNumberFormat="1" applyFont="1" applyFill="1" applyAlignment="1" applyProtection="1">
      <alignment vertical="center" wrapText="1"/>
      <protection hidden="1"/>
    </xf>
    <xf numFmtId="170" fontId="28" fillId="53" borderId="0" xfId="1" applyFont="1" applyFill="1" applyAlignment="1">
      <alignment horizontal="center" vertical="center" wrapText="1"/>
    </xf>
    <xf numFmtId="170" fontId="14" fillId="13" borderId="0" xfId="1" applyFont="1" applyFill="1" applyAlignment="1" applyProtection="1">
      <alignment vertical="center" wrapText="1"/>
      <protection locked="0"/>
    </xf>
    <xf numFmtId="9" fontId="62" fillId="20" borderId="90" xfId="2" applyFont="1" applyFill="1" applyBorder="1"/>
    <xf numFmtId="0" fontId="35" fillId="25" borderId="4" xfId="0" applyFont="1" applyFill="1" applyBorder="1" applyAlignment="1" applyProtection="1">
      <alignment horizontal="center" vertical="center" wrapText="1"/>
      <protection hidden="1"/>
    </xf>
    <xf numFmtId="0" fontId="74" fillId="25" borderId="4" xfId="0" applyFont="1" applyFill="1" applyBorder="1" applyAlignment="1" applyProtection="1">
      <alignment horizontal="center" vertical="center" wrapText="1"/>
      <protection hidden="1"/>
    </xf>
    <xf numFmtId="0" fontId="74" fillId="51" borderId="4" xfId="0" applyFont="1" applyFill="1" applyBorder="1" applyAlignment="1" applyProtection="1">
      <alignment horizontal="center" vertical="center" wrapText="1"/>
      <protection hidden="1"/>
    </xf>
    <xf numFmtId="0" fontId="66" fillId="0" borderId="0" xfId="0" applyFont="1" applyProtection="1">
      <protection hidden="1"/>
    </xf>
    <xf numFmtId="0" fontId="59" fillId="20" borderId="4" xfId="0" applyFont="1" applyFill="1" applyBorder="1" applyAlignment="1" applyProtection="1">
      <alignment horizontal="center" vertical="center" wrapText="1"/>
      <protection hidden="1"/>
    </xf>
    <xf numFmtId="0" fontId="59" fillId="20" borderId="9" xfId="0" applyFont="1" applyFill="1" applyBorder="1" applyAlignment="1" applyProtection="1">
      <alignment horizontal="center" vertical="center" wrapText="1"/>
      <protection hidden="1"/>
    </xf>
    <xf numFmtId="170" fontId="66" fillId="0" borderId="4" xfId="1" applyFont="1" applyBorder="1" applyProtection="1">
      <protection hidden="1"/>
    </xf>
    <xf numFmtId="9" fontId="66" fillId="0" borderId="4" xfId="0" applyNumberFormat="1" applyFont="1" applyBorder="1" applyAlignment="1" applyProtection="1">
      <alignment horizontal="center"/>
      <protection hidden="1"/>
    </xf>
    <xf numFmtId="191" fontId="66" fillId="0" borderId="4" xfId="40" applyNumberFormat="1" applyFont="1" applyBorder="1" applyProtection="1">
      <protection hidden="1"/>
    </xf>
    <xf numFmtId="9" fontId="66" fillId="0" borderId="9" xfId="2" applyFont="1" applyBorder="1" applyAlignment="1" applyProtection="1">
      <alignment horizontal="center"/>
      <protection hidden="1"/>
    </xf>
    <xf numFmtId="9" fontId="66" fillId="0" borderId="4" xfId="2" applyFont="1" applyBorder="1" applyAlignment="1" applyProtection="1">
      <alignment horizontal="center"/>
      <protection hidden="1"/>
    </xf>
    <xf numFmtId="0" fontId="163" fillId="0" borderId="9" xfId="0" applyFont="1" applyBorder="1" applyAlignment="1" applyProtection="1">
      <protection hidden="1"/>
    </xf>
    <xf numFmtId="9" fontId="163" fillId="0" borderId="4" xfId="0" applyNumberFormat="1" applyFont="1" applyBorder="1" applyAlignment="1" applyProtection="1">
      <alignment horizontal="center"/>
      <protection hidden="1"/>
    </xf>
    <xf numFmtId="0" fontId="163" fillId="0" borderId="4" xfId="0" applyFont="1" applyBorder="1" applyAlignment="1" applyProtection="1">
      <alignment horizontal="center"/>
      <protection hidden="1"/>
    </xf>
    <xf numFmtId="0" fontId="66" fillId="0" borderId="4" xfId="0" applyFont="1" applyBorder="1" applyAlignment="1" applyProtection="1">
      <alignment horizontal="center"/>
      <protection hidden="1"/>
    </xf>
    <xf numFmtId="9" fontId="66" fillId="0" borderId="0" xfId="0" applyNumberFormat="1" applyFont="1" applyAlignment="1" applyProtection="1">
      <alignment horizontal="center"/>
      <protection hidden="1"/>
    </xf>
    <xf numFmtId="168" fontId="0" fillId="0" borderId="4" xfId="46" applyFont="1" applyBorder="1" applyAlignment="1" applyProtection="1">
      <alignment vertical="center"/>
      <protection hidden="1"/>
    </xf>
    <xf numFmtId="3" fontId="10" fillId="72" borderId="20" xfId="5" applyNumberFormat="1" applyFont="1" applyFill="1" applyBorder="1" applyAlignment="1">
      <alignment vertical="center" wrapText="1"/>
    </xf>
    <xf numFmtId="3" fontId="10" fillId="72" borderId="4" xfId="5" applyNumberFormat="1" applyFont="1" applyFill="1" applyBorder="1" applyAlignment="1">
      <alignment vertical="center" wrapText="1"/>
    </xf>
    <xf numFmtId="3" fontId="20" fillId="72" borderId="4" xfId="5" applyNumberFormat="1" applyFont="1" applyFill="1" applyBorder="1" applyAlignment="1" applyProtection="1">
      <alignment vertical="center" wrapText="1"/>
      <protection locked="0"/>
    </xf>
    <xf numFmtId="3" fontId="10" fillId="0" borderId="4" xfId="5" applyNumberFormat="1" applyFont="1" applyBorder="1" applyAlignment="1" applyProtection="1">
      <alignment horizontal="right" vertical="center" wrapText="1"/>
      <protection hidden="1"/>
    </xf>
    <xf numFmtId="168" fontId="10" fillId="13" borderId="4" xfId="46" applyFont="1" applyFill="1" applyBorder="1" applyAlignment="1" applyProtection="1">
      <alignment horizontal="right" vertical="center" wrapText="1"/>
      <protection hidden="1"/>
    </xf>
    <xf numFmtId="168" fontId="0" fillId="72" borderId="4" xfId="46" applyFont="1" applyFill="1" applyBorder="1" applyAlignment="1" applyProtection="1">
      <alignment vertical="center"/>
      <protection locked="0"/>
    </xf>
    <xf numFmtId="9" fontId="35" fillId="15" borderId="128" xfId="0" applyNumberFormat="1" applyFont="1" applyFill="1" applyBorder="1" applyAlignment="1" applyProtection="1">
      <alignment horizontal="center" vertical="center" wrapText="1"/>
      <protection hidden="1"/>
    </xf>
    <xf numFmtId="0" fontId="35" fillId="0" borderId="0" xfId="0" applyFont="1" applyAlignment="1" applyProtection="1">
      <alignment horizontal="center" vertical="center"/>
      <protection hidden="1"/>
    </xf>
    <xf numFmtId="0" fontId="35" fillId="0" borderId="4" xfId="0" applyFont="1" applyBorder="1" applyAlignment="1" applyProtection="1">
      <alignment horizontal="center" vertical="center"/>
      <protection hidden="1"/>
    </xf>
    <xf numFmtId="9" fontId="35" fillId="0" borderId="4" xfId="0" applyNumberFormat="1"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66" fillId="0" borderId="4" xfId="0" applyFont="1" applyBorder="1" applyAlignment="1" applyProtection="1">
      <alignment vertical="center" wrapText="1"/>
      <protection hidden="1"/>
    </xf>
    <xf numFmtId="0" fontId="65" fillId="5" borderId="124" xfId="34" applyFont="1" applyFill="1" applyBorder="1" applyAlignment="1" applyProtection="1">
      <alignment horizontal="center" vertical="center" wrapText="1"/>
      <protection hidden="1"/>
    </xf>
    <xf numFmtId="0" fontId="7" fillId="0" borderId="0" xfId="20" applyFill="1" applyBorder="1" applyAlignment="1" applyProtection="1">
      <alignment horizontal="center" vertical="center"/>
      <protection hidden="1"/>
    </xf>
    <xf numFmtId="0" fontId="57" fillId="0" borderId="0" xfId="35" applyFont="1" applyFill="1" applyBorder="1" applyAlignment="1" applyProtection="1">
      <alignment horizontal="center" vertical="center"/>
      <protection hidden="1"/>
    </xf>
    <xf numFmtId="0" fontId="62" fillId="0" borderId="0" xfId="0" applyFont="1" applyProtection="1">
      <protection hidden="1"/>
    </xf>
    <xf numFmtId="0" fontId="166" fillId="18" borderId="147" xfId="0" applyFont="1" applyFill="1" applyBorder="1" applyAlignment="1" applyProtection="1">
      <alignment horizontal="left" vertical="center"/>
      <protection hidden="1"/>
    </xf>
    <xf numFmtId="0" fontId="166" fillId="18" borderId="0" xfId="0" applyFont="1" applyFill="1" applyBorder="1" applyAlignment="1" applyProtection="1">
      <alignment horizontal="left" vertical="center"/>
      <protection hidden="1"/>
    </xf>
    <xf numFmtId="0" fontId="166" fillId="0" borderId="148" xfId="0" applyFont="1" applyBorder="1" applyAlignment="1" applyProtection="1">
      <alignment horizontal="left" vertical="center"/>
      <protection hidden="1"/>
    </xf>
    <xf numFmtId="0" fontId="166" fillId="0" borderId="0" xfId="0" applyFont="1" applyBorder="1" applyAlignment="1" applyProtection="1">
      <alignment horizontal="left" vertical="center"/>
      <protection hidden="1"/>
    </xf>
    <xf numFmtId="0" fontId="166" fillId="18" borderId="148" xfId="0" applyFont="1" applyFill="1" applyBorder="1" applyAlignment="1" applyProtection="1">
      <alignment horizontal="left" vertical="center"/>
      <protection hidden="1"/>
    </xf>
    <xf numFmtId="168" fontId="35" fillId="0" borderId="4" xfId="46" applyFont="1" applyFill="1" applyBorder="1" applyAlignment="1" applyProtection="1">
      <alignment vertical="center"/>
      <protection hidden="1"/>
    </xf>
    <xf numFmtId="0" fontId="19" fillId="0" borderId="0" xfId="0" applyFont="1" applyAlignment="1" applyProtection="1">
      <alignment horizontal="center" vertical="center"/>
      <protection hidden="1"/>
    </xf>
    <xf numFmtId="0" fontId="54" fillId="0" borderId="0" xfId="0" applyFont="1" applyAlignment="1" applyProtection="1">
      <alignment horizontal="center" vertical="center"/>
      <protection hidden="1"/>
    </xf>
    <xf numFmtId="0" fontId="54" fillId="0" borderId="0" xfId="0" applyFont="1" applyAlignment="1" applyProtection="1">
      <alignment vertical="center"/>
      <protection hidden="1"/>
    </xf>
    <xf numFmtId="182" fontId="35" fillId="36" borderId="4" xfId="17" applyNumberFormat="1" applyFont="1" applyFill="1" applyBorder="1" applyAlignment="1" applyProtection="1">
      <alignment vertical="center"/>
      <protection hidden="1"/>
    </xf>
    <xf numFmtId="10" fontId="35" fillId="36" borderId="4" xfId="0" applyNumberFormat="1" applyFont="1" applyFill="1" applyBorder="1" applyAlignment="1" applyProtection="1">
      <alignment horizontal="center" vertical="center"/>
      <protection hidden="1"/>
    </xf>
    <xf numFmtId="44" fontId="47" fillId="0" borderId="4" xfId="26" applyNumberFormat="1" applyFont="1" applyBorder="1" applyAlignment="1" applyProtection="1">
      <alignment vertical="center"/>
      <protection hidden="1"/>
    </xf>
    <xf numFmtId="175" fontId="28" fillId="61" borderId="11" xfId="2" applyNumberFormat="1" applyFont="1" applyFill="1" applyBorder="1" applyAlignment="1" applyProtection="1">
      <alignment horizontal="center" vertical="center"/>
      <protection hidden="1"/>
    </xf>
    <xf numFmtId="175" fontId="28" fillId="61" borderId="12" xfId="2" applyNumberFormat="1" applyFont="1" applyFill="1" applyBorder="1" applyAlignment="1" applyProtection="1">
      <alignment horizontal="center" vertical="center"/>
      <protection hidden="1"/>
    </xf>
    <xf numFmtId="0" fontId="36" fillId="0" borderId="4" xfId="0" applyFont="1" applyBorder="1" applyAlignment="1" applyProtection="1">
      <alignment horizontal="center" vertical="center" wrapText="1"/>
      <protection hidden="1"/>
    </xf>
    <xf numFmtId="178" fontId="69" fillId="0" borderId="4" xfId="0" applyNumberFormat="1" applyFont="1" applyBorder="1" applyAlignment="1" applyProtection="1">
      <alignment horizontal="center" vertical="center"/>
      <protection hidden="1"/>
    </xf>
    <xf numFmtId="3" fontId="14" fillId="0" borderId="4" xfId="0" applyNumberFormat="1" applyFont="1" applyBorder="1" applyAlignment="1" applyProtection="1">
      <alignment horizontal="right" vertical="center" wrapText="1"/>
      <protection locked="0"/>
    </xf>
    <xf numFmtId="3" fontId="14" fillId="0" borderId="20" xfId="0" applyNumberFormat="1" applyFont="1" applyBorder="1" applyAlignment="1" applyProtection="1">
      <alignment horizontal="right" vertical="center" wrapText="1"/>
      <protection locked="0"/>
    </xf>
    <xf numFmtId="3" fontId="14" fillId="0" borderId="4" xfId="15" applyNumberFormat="1" applyFont="1" applyFill="1" applyBorder="1" applyAlignment="1" applyProtection="1">
      <alignment horizontal="right" vertical="center" wrapText="1"/>
      <protection locked="0"/>
    </xf>
    <xf numFmtId="0" fontId="47" fillId="20" borderId="0" xfId="0" applyFont="1" applyFill="1" applyAlignment="1" applyProtection="1">
      <alignment vertical="center"/>
      <protection hidden="1"/>
    </xf>
    <xf numFmtId="0" fontId="76" fillId="20" borderId="4" xfId="0" applyFont="1" applyFill="1" applyBorder="1" applyAlignment="1" applyProtection="1">
      <alignment horizontal="center" vertical="center" wrapText="1"/>
      <protection hidden="1"/>
    </xf>
    <xf numFmtId="0" fontId="25" fillId="0" borderId="4" xfId="0" applyFont="1" applyBorder="1" applyAlignment="1" applyProtection="1">
      <alignment horizontal="center" vertical="center"/>
      <protection locked="0"/>
    </xf>
    <xf numFmtId="0" fontId="25" fillId="0" borderId="4" xfId="0" applyFont="1" applyBorder="1" applyAlignment="1" applyProtection="1">
      <alignment horizontal="left" vertical="center" wrapText="1"/>
      <protection locked="0"/>
    </xf>
    <xf numFmtId="0" fontId="14" fillId="0" borderId="22" xfId="0" applyFont="1" applyBorder="1" applyAlignment="1" applyProtection="1">
      <alignment horizontal="left" vertical="center" wrapText="1"/>
      <protection locked="0"/>
    </xf>
    <xf numFmtId="0" fontId="116" fillId="53" borderId="4" xfId="5" applyFont="1" applyFill="1" applyBorder="1" applyAlignment="1" applyProtection="1">
      <alignment horizontal="center" vertical="center" wrapText="1"/>
      <protection locked="0"/>
    </xf>
    <xf numFmtId="0" fontId="27" fillId="0" borderId="4" xfId="5" applyFont="1" applyBorder="1" applyAlignment="1" applyProtection="1">
      <alignment horizontal="center" vertical="center" wrapText="1"/>
      <protection locked="0"/>
    </xf>
    <xf numFmtId="9" fontId="132" fillId="51" borderId="4" xfId="7" applyFont="1" applyFill="1" applyBorder="1" applyAlignment="1" applyProtection="1">
      <alignment horizontal="center" vertical="center"/>
      <protection locked="0"/>
    </xf>
    <xf numFmtId="0" fontId="35" fillId="0" borderId="16" xfId="0" applyFont="1" applyBorder="1" applyAlignment="1" applyProtection="1">
      <alignment horizontal="left" vertical="center"/>
      <protection locked="0"/>
    </xf>
    <xf numFmtId="0" fontId="35" fillId="0" borderId="4" xfId="0" applyFont="1" applyBorder="1" applyAlignment="1" applyProtection="1">
      <alignment vertical="center"/>
      <protection locked="0"/>
    </xf>
    <xf numFmtId="10" fontId="25" fillId="0" borderId="4" xfId="2" applyNumberFormat="1" applyFont="1" applyBorder="1" applyAlignment="1" applyProtection="1">
      <alignment vertical="center"/>
      <protection locked="0"/>
    </xf>
    <xf numFmtId="43" fontId="25" fillId="13" borderId="4"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left" vertical="center" wrapText="1"/>
      <protection locked="0"/>
    </xf>
    <xf numFmtId="0" fontId="47" fillId="0" borderId="16" xfId="0" applyFont="1" applyBorder="1" applyAlignment="1" applyProtection="1">
      <alignment horizontal="left" vertical="center"/>
      <protection locked="0"/>
    </xf>
    <xf numFmtId="0" fontId="47" fillId="0" borderId="4" xfId="0" applyFont="1" applyBorder="1" applyAlignment="1" applyProtection="1">
      <alignment vertical="center"/>
      <protection locked="0"/>
    </xf>
    <xf numFmtId="10" fontId="14" fillId="0" borderId="4" xfId="2" applyNumberFormat="1" applyFont="1" applyBorder="1" applyAlignment="1" applyProtection="1">
      <alignment vertical="center"/>
      <protection locked="0"/>
    </xf>
    <xf numFmtId="43" fontId="14" fillId="13" borderId="4" xfId="0" applyNumberFormat="1" applyFont="1" applyFill="1" applyBorder="1" applyAlignment="1" applyProtection="1">
      <alignment vertical="center"/>
      <protection locked="0"/>
    </xf>
    <xf numFmtId="0" fontId="14" fillId="0" borderId="0" xfId="0" applyFont="1" applyAlignment="1" applyProtection="1">
      <alignment horizontal="left" vertical="center" wrapText="1"/>
      <protection locked="0"/>
    </xf>
    <xf numFmtId="0" fontId="14" fillId="0" borderId="25" xfId="0" applyFont="1" applyBorder="1" applyAlignment="1" applyProtection="1">
      <alignment vertical="center"/>
      <protection locked="0"/>
    </xf>
    <xf numFmtId="0" fontId="14" fillId="0" borderId="22" xfId="0" applyFont="1" applyBorder="1" applyAlignment="1" applyProtection="1">
      <alignment vertical="center" wrapText="1"/>
      <protection locked="0"/>
    </xf>
    <xf numFmtId="10" fontId="14" fillId="0" borderId="22" xfId="2" applyNumberFormat="1" applyFont="1" applyBorder="1" applyAlignment="1" applyProtection="1">
      <alignment vertical="center"/>
      <protection locked="0"/>
    </xf>
    <xf numFmtId="43" fontId="14" fillId="13" borderId="22" xfId="0" applyNumberFormat="1" applyFont="1" applyFill="1" applyBorder="1" applyAlignment="1" applyProtection="1">
      <alignment vertical="center"/>
      <protection locked="0"/>
    </xf>
    <xf numFmtId="172" fontId="69" fillId="0" borderId="4" xfId="0" applyNumberFormat="1" applyFont="1" applyFill="1" applyBorder="1" applyAlignment="1" applyProtection="1">
      <alignment horizontal="right" vertical="center"/>
      <protection locked="0"/>
    </xf>
    <xf numFmtId="175" fontId="69" fillId="0" borderId="4" xfId="2" applyNumberFormat="1" applyFont="1" applyFill="1" applyBorder="1" applyAlignment="1" applyProtection="1">
      <alignment horizontal="center" vertical="center" wrapText="1"/>
      <protection locked="0"/>
    </xf>
    <xf numFmtId="0" fontId="184" fillId="0" borderId="4" xfId="0" applyFont="1" applyFill="1" applyBorder="1" applyAlignment="1" applyProtection="1">
      <alignment vertical="justify" wrapText="1"/>
      <protection locked="0"/>
    </xf>
    <xf numFmtId="0" fontId="70" fillId="0" borderId="4" xfId="0" applyFont="1" applyBorder="1" applyAlignment="1" applyProtection="1">
      <alignment vertical="center" wrapText="1"/>
      <protection locked="0"/>
    </xf>
    <xf numFmtId="0" fontId="50" fillId="0" borderId="4" xfId="0" applyNumberFormat="1" applyFont="1" applyFill="1" applyBorder="1" applyAlignment="1" applyProtection="1">
      <alignment horizontal="center"/>
      <protection locked="0"/>
    </xf>
    <xf numFmtId="0" fontId="50" fillId="0" borderId="4" xfId="0" applyFont="1" applyFill="1" applyBorder="1" applyAlignment="1" applyProtection="1">
      <alignment horizontal="left"/>
      <protection locked="0"/>
    </xf>
    <xf numFmtId="0" fontId="50" fillId="0" borderId="4" xfId="0" applyFont="1" applyFill="1" applyBorder="1" applyAlignment="1" applyProtection="1">
      <alignment horizontal="center"/>
      <protection locked="0"/>
    </xf>
    <xf numFmtId="0" fontId="115" fillId="0" borderId="4" xfId="0" applyFont="1" applyFill="1" applyBorder="1" applyAlignment="1" applyProtection="1">
      <protection locked="0"/>
    </xf>
    <xf numFmtId="184" fontId="14" fillId="9" borderId="4" xfId="0" applyNumberFormat="1" applyFont="1" applyFill="1" applyBorder="1" applyAlignment="1" applyProtection="1">
      <alignment horizontal="center" vertical="center"/>
      <protection locked="0"/>
    </xf>
    <xf numFmtId="0" fontId="185" fillId="0" borderId="4" xfId="0" applyFont="1" applyBorder="1" applyAlignment="1" applyProtection="1">
      <alignment vertical="center" wrapText="1"/>
      <protection hidden="1"/>
    </xf>
    <xf numFmtId="172" fontId="61" fillId="32" borderId="4" xfId="24" applyNumberFormat="1" applyFont="1" applyFill="1" applyBorder="1" applyAlignment="1">
      <alignment horizontal="center" vertical="center"/>
    </xf>
    <xf numFmtId="0" fontId="47" fillId="0" borderId="4" xfId="0" applyFont="1" applyBorder="1" applyAlignment="1" applyProtection="1">
      <alignment horizontal="left" vertical="center" wrapText="1"/>
      <protection hidden="1"/>
    </xf>
    <xf numFmtId="0" fontId="25" fillId="0" borderId="0" xfId="0" applyFont="1" applyAlignment="1">
      <alignment horizontal="center"/>
    </xf>
    <xf numFmtId="0" fontId="0" fillId="0" borderId="0" xfId="0" applyAlignment="1">
      <alignment horizontal="left" vertical="top" wrapText="1"/>
    </xf>
    <xf numFmtId="0" fontId="109" fillId="36" borderId="175" xfId="5" applyFont="1" applyFill="1" applyBorder="1" applyAlignment="1" applyProtection="1">
      <alignment horizontal="center" vertical="center" wrapText="1"/>
      <protection hidden="1"/>
    </xf>
    <xf numFmtId="0" fontId="137" fillId="0" borderId="45" xfId="0" applyFont="1" applyBorder="1" applyAlignment="1">
      <alignment horizontal="center" vertical="center"/>
    </xf>
    <xf numFmtId="0" fontId="137" fillId="0" borderId="0" xfId="0" applyFont="1" applyBorder="1" applyAlignment="1">
      <alignment horizontal="center" vertical="center"/>
    </xf>
    <xf numFmtId="0" fontId="137" fillId="0" borderId="31" xfId="0" applyFont="1" applyBorder="1" applyAlignment="1">
      <alignment horizontal="center" vertical="center"/>
    </xf>
    <xf numFmtId="0" fontId="137" fillId="0" borderId="33" xfId="0" applyFont="1" applyBorder="1" applyAlignment="1">
      <alignment horizontal="center" vertical="center"/>
    </xf>
    <xf numFmtId="172" fontId="172" fillId="10" borderId="97" xfId="24" applyNumberFormat="1" applyFont="1" applyFill="1" applyBorder="1" applyAlignment="1" applyProtection="1">
      <alignment horizontal="center" vertical="center"/>
      <protection hidden="1"/>
    </xf>
    <xf numFmtId="172" fontId="172" fillId="10" borderId="98" xfId="24" applyNumberFormat="1" applyFont="1" applyFill="1" applyBorder="1" applyAlignment="1" applyProtection="1">
      <alignment horizontal="center" vertical="center"/>
      <protection hidden="1"/>
    </xf>
    <xf numFmtId="172" fontId="172" fillId="10" borderId="5" xfId="24" applyNumberFormat="1" applyFont="1" applyFill="1" applyBorder="1" applyAlignment="1" applyProtection="1">
      <alignment horizontal="center" vertical="center"/>
      <protection hidden="1"/>
    </xf>
    <xf numFmtId="0" fontId="18" fillId="64" borderId="4" xfId="0" applyFont="1" applyFill="1" applyBorder="1" applyAlignment="1">
      <alignment horizontal="left" vertical="center"/>
    </xf>
    <xf numFmtId="0" fontId="0" fillId="21" borderId="4" xfId="0" applyFill="1" applyBorder="1" applyAlignment="1">
      <alignment horizontal="left" vertical="center"/>
    </xf>
    <xf numFmtId="0" fontId="0" fillId="20" borderId="4" xfId="0" applyFill="1" applyBorder="1" applyAlignment="1">
      <alignment horizontal="left" vertical="center"/>
    </xf>
    <xf numFmtId="0" fontId="0" fillId="65" borderId="4" xfId="0" applyFill="1" applyBorder="1" applyAlignment="1">
      <alignment horizontal="left" vertical="center"/>
    </xf>
    <xf numFmtId="0" fontId="109" fillId="33" borderId="127" xfId="5" applyFont="1" applyFill="1" applyBorder="1" applyAlignment="1" applyProtection="1">
      <alignment horizontal="center" vertical="center" wrapText="1"/>
      <protection hidden="1"/>
    </xf>
    <xf numFmtId="0" fontId="109" fillId="33" borderId="100" xfId="5" applyFont="1" applyFill="1" applyBorder="1" applyAlignment="1" applyProtection="1">
      <alignment horizontal="center" vertical="center" wrapText="1"/>
      <protection hidden="1"/>
    </xf>
    <xf numFmtId="0" fontId="109" fillId="33" borderId="6" xfId="5" applyFont="1" applyFill="1" applyBorder="1" applyAlignment="1" applyProtection="1">
      <alignment horizontal="center" vertical="center" wrapText="1"/>
      <protection hidden="1"/>
    </xf>
    <xf numFmtId="0" fontId="109" fillId="33" borderId="125" xfId="5" applyFont="1" applyFill="1" applyBorder="1" applyAlignment="1" applyProtection="1">
      <alignment horizontal="center" vertical="center" wrapText="1"/>
      <protection hidden="1"/>
    </xf>
    <xf numFmtId="0" fontId="109" fillId="33" borderId="2" xfId="5" applyFont="1" applyFill="1" applyBorder="1" applyAlignment="1" applyProtection="1">
      <alignment horizontal="center" vertical="center" wrapText="1"/>
      <protection hidden="1"/>
    </xf>
    <xf numFmtId="0" fontId="109" fillId="33" borderId="142" xfId="5" applyFont="1" applyFill="1" applyBorder="1" applyAlignment="1" applyProtection="1">
      <alignment horizontal="center" vertical="center" wrapText="1"/>
      <protection hidden="1"/>
    </xf>
    <xf numFmtId="0" fontId="109" fillId="59" borderId="100" xfId="5" applyFont="1" applyFill="1" applyBorder="1" applyAlignment="1" applyProtection="1">
      <alignment horizontal="center" vertical="center" wrapText="1"/>
      <protection hidden="1"/>
    </xf>
    <xf numFmtId="0" fontId="109" fillId="59" borderId="6" xfId="5" applyFont="1" applyFill="1" applyBorder="1" applyAlignment="1" applyProtection="1">
      <alignment horizontal="center" vertical="center" wrapText="1"/>
      <protection hidden="1"/>
    </xf>
    <xf numFmtId="0" fontId="109" fillId="59" borderId="2" xfId="5" applyFont="1" applyFill="1" applyBorder="1" applyAlignment="1" applyProtection="1">
      <alignment horizontal="center" vertical="center" wrapText="1"/>
      <protection hidden="1"/>
    </xf>
    <xf numFmtId="0" fontId="109" fillId="59" borderId="142" xfId="5" applyFont="1" applyFill="1" applyBorder="1" applyAlignment="1" applyProtection="1">
      <alignment horizontal="center" vertical="center" wrapText="1"/>
      <protection hidden="1"/>
    </xf>
    <xf numFmtId="0" fontId="109" fillId="5" borderId="140" xfId="5" applyFont="1" applyFill="1" applyBorder="1" applyAlignment="1" applyProtection="1">
      <alignment horizontal="center" vertical="center" wrapText="1"/>
      <protection hidden="1"/>
    </xf>
    <xf numFmtId="0" fontId="109" fillId="5" borderId="18" xfId="5" applyFont="1" applyFill="1" applyBorder="1" applyAlignment="1" applyProtection="1">
      <alignment horizontal="center" vertical="center" wrapText="1"/>
      <protection hidden="1"/>
    </xf>
    <xf numFmtId="9" fontId="109" fillId="15" borderId="6" xfId="5" applyNumberFormat="1" applyFont="1" applyFill="1" applyBorder="1" applyAlignment="1" applyProtection="1">
      <alignment horizontal="center" vertical="center" wrapText="1"/>
      <protection hidden="1"/>
    </xf>
    <xf numFmtId="9" fontId="109" fillId="15" borderId="46" xfId="5" applyNumberFormat="1" applyFont="1" applyFill="1" applyBorder="1" applyAlignment="1" applyProtection="1">
      <alignment horizontal="center" vertical="center" wrapText="1"/>
      <protection hidden="1"/>
    </xf>
    <xf numFmtId="9" fontId="109" fillId="15" borderId="35" xfId="5" applyNumberFormat="1" applyFont="1" applyFill="1" applyBorder="1" applyAlignment="1" applyProtection="1">
      <alignment horizontal="center" vertical="center" wrapText="1"/>
      <protection hidden="1"/>
    </xf>
    <xf numFmtId="0" fontId="109" fillId="5" borderId="154" xfId="5" applyFont="1" applyFill="1" applyBorder="1" applyAlignment="1" applyProtection="1">
      <alignment horizontal="center" vertical="center" wrapText="1"/>
      <protection hidden="1"/>
    </xf>
    <xf numFmtId="0" fontId="109" fillId="5" borderId="157" xfId="5" applyFont="1" applyFill="1" applyBorder="1" applyAlignment="1" applyProtection="1">
      <alignment horizontal="center" vertical="center" wrapText="1"/>
      <protection hidden="1"/>
    </xf>
    <xf numFmtId="0" fontId="109" fillId="5" borderId="2" xfId="5" applyFont="1" applyFill="1" applyBorder="1" applyAlignment="1" applyProtection="1">
      <alignment horizontal="center" vertical="center" wrapText="1"/>
      <protection hidden="1"/>
    </xf>
    <xf numFmtId="0" fontId="109" fillId="5" borderId="142" xfId="5" applyFont="1" applyFill="1" applyBorder="1" applyAlignment="1" applyProtection="1">
      <alignment horizontal="center" vertical="center" wrapText="1"/>
      <protection hidden="1"/>
    </xf>
    <xf numFmtId="9" fontId="28" fillId="15" borderId="157" xfId="7" applyFont="1" applyFill="1" applyBorder="1" applyAlignment="1" applyProtection="1">
      <alignment horizontal="center" vertical="center" wrapText="1"/>
      <protection hidden="1"/>
    </xf>
    <xf numFmtId="9" fontId="28" fillId="15" borderId="142" xfId="7" applyFont="1" applyFill="1" applyBorder="1" applyAlignment="1" applyProtection="1">
      <alignment horizontal="center" vertical="center" wrapText="1"/>
      <protection hidden="1"/>
    </xf>
    <xf numFmtId="175" fontId="28" fillId="15" borderId="158" xfId="7" applyNumberFormat="1" applyFont="1" applyFill="1" applyBorder="1" applyAlignment="1" applyProtection="1">
      <alignment horizontal="center" vertical="center" wrapText="1"/>
      <protection hidden="1"/>
    </xf>
    <xf numFmtId="175" fontId="28" fillId="15" borderId="47" xfId="7" applyNumberFormat="1" applyFont="1" applyFill="1" applyBorder="1" applyAlignment="1" applyProtection="1">
      <alignment horizontal="center" vertical="center" wrapText="1"/>
      <protection hidden="1"/>
    </xf>
    <xf numFmtId="175" fontId="28" fillId="15" borderId="167" xfId="7" applyNumberFormat="1" applyFont="1" applyFill="1" applyBorder="1" applyAlignment="1" applyProtection="1">
      <alignment horizontal="center" vertical="center" wrapText="1"/>
      <protection hidden="1"/>
    </xf>
    <xf numFmtId="175" fontId="28" fillId="15" borderId="26" xfId="7" applyNumberFormat="1" applyFont="1" applyFill="1" applyBorder="1" applyAlignment="1" applyProtection="1">
      <alignment horizontal="center" vertical="center" wrapText="1"/>
      <protection hidden="1"/>
    </xf>
    <xf numFmtId="175" fontId="27" fillId="15" borderId="8" xfId="7" applyNumberFormat="1" applyFont="1" applyFill="1" applyBorder="1" applyAlignment="1" applyProtection="1">
      <alignment horizontal="center" vertical="center" wrapText="1"/>
      <protection hidden="1"/>
    </xf>
    <xf numFmtId="175" fontId="27" fillId="15" borderId="15" xfId="7" applyNumberFormat="1" applyFont="1" applyFill="1" applyBorder="1" applyAlignment="1" applyProtection="1">
      <alignment horizontal="center" vertical="center" wrapText="1"/>
      <protection hidden="1"/>
    </xf>
    <xf numFmtId="175" fontId="27" fillId="15" borderId="28" xfId="7" applyNumberFormat="1" applyFont="1" applyFill="1" applyBorder="1" applyAlignment="1" applyProtection="1">
      <alignment horizontal="center" vertical="center" wrapText="1"/>
      <protection hidden="1"/>
    </xf>
    <xf numFmtId="175" fontId="28" fillId="15" borderId="28" xfId="7" applyNumberFormat="1" applyFont="1" applyFill="1" applyBorder="1" applyAlignment="1" applyProtection="1">
      <alignment horizontal="center" vertical="center" wrapText="1"/>
      <protection hidden="1"/>
    </xf>
    <xf numFmtId="175" fontId="28" fillId="15" borderId="15" xfId="7" applyNumberFormat="1" applyFont="1" applyFill="1" applyBorder="1" applyAlignment="1" applyProtection="1">
      <alignment horizontal="center" vertical="center" wrapText="1"/>
      <protection hidden="1"/>
    </xf>
    <xf numFmtId="175" fontId="116" fillId="15" borderId="28" xfId="7" applyNumberFormat="1" applyFont="1" applyFill="1" applyBorder="1" applyAlignment="1" applyProtection="1">
      <alignment horizontal="center" vertical="center" wrapText="1"/>
      <protection hidden="1"/>
    </xf>
    <xf numFmtId="175" fontId="116" fillId="15" borderId="15" xfId="7" applyNumberFormat="1" applyFont="1" applyFill="1" applyBorder="1" applyAlignment="1" applyProtection="1">
      <alignment horizontal="center" vertical="center" wrapText="1"/>
      <protection hidden="1"/>
    </xf>
    <xf numFmtId="175" fontId="43" fillId="20" borderId="38" xfId="7" applyNumberFormat="1" applyFont="1" applyFill="1" applyBorder="1" applyAlignment="1" applyProtection="1">
      <alignment horizontal="center" vertical="center"/>
      <protection hidden="1"/>
    </xf>
    <xf numFmtId="175" fontId="43" fillId="20" borderId="40" xfId="7" applyNumberFormat="1" applyFont="1" applyFill="1" applyBorder="1" applyAlignment="1" applyProtection="1">
      <alignment horizontal="center" vertical="center"/>
      <protection hidden="1"/>
    </xf>
    <xf numFmtId="0" fontId="109" fillId="14" borderId="8" xfId="34" applyFont="1" applyFill="1" applyBorder="1" applyAlignment="1" applyProtection="1">
      <alignment horizontal="center" vertical="center" wrapText="1"/>
      <protection hidden="1"/>
    </xf>
    <xf numFmtId="0" fontId="109" fillId="14" borderId="133" xfId="34" applyFont="1" applyFill="1" applyBorder="1" applyAlignment="1" applyProtection="1">
      <alignment horizontal="center" vertical="center" wrapText="1"/>
      <protection hidden="1"/>
    </xf>
    <xf numFmtId="0" fontId="109" fillId="14" borderId="129" xfId="34" applyFont="1" applyFill="1" applyBorder="1" applyAlignment="1" applyProtection="1">
      <alignment horizontal="center" vertical="center" wrapText="1"/>
      <protection hidden="1"/>
    </xf>
    <xf numFmtId="0" fontId="35" fillId="0" borderId="164" xfId="0" applyFont="1" applyBorder="1" applyAlignment="1" applyProtection="1">
      <alignment horizontal="center" vertical="center" wrapText="1"/>
      <protection hidden="1"/>
    </xf>
    <xf numFmtId="0" fontId="35" fillId="0" borderId="163" xfId="0" applyFont="1" applyBorder="1" applyAlignment="1" applyProtection="1">
      <alignment horizontal="center" vertical="center" wrapText="1"/>
      <protection hidden="1"/>
    </xf>
    <xf numFmtId="175" fontId="28" fillId="15" borderId="162" xfId="7" applyNumberFormat="1" applyFont="1" applyFill="1" applyBorder="1" applyAlignment="1" applyProtection="1">
      <alignment horizontal="center" vertical="center" wrapText="1"/>
      <protection hidden="1"/>
    </xf>
    <xf numFmtId="175" fontId="28" fillId="15" borderId="3" xfId="7" applyNumberFormat="1" applyFont="1" applyFill="1" applyBorder="1" applyAlignment="1" applyProtection="1">
      <alignment horizontal="center" vertical="center" wrapText="1"/>
      <protection hidden="1"/>
    </xf>
    <xf numFmtId="0" fontId="0" fillId="0" borderId="10" xfId="0" applyBorder="1" applyAlignment="1" applyProtection="1">
      <alignment horizontal="center"/>
      <protection hidden="1"/>
    </xf>
    <xf numFmtId="0" fontId="0" fillId="0" borderId="25" xfId="0" applyBorder="1" applyAlignment="1" applyProtection="1">
      <alignment horizontal="center"/>
      <protection hidden="1"/>
    </xf>
    <xf numFmtId="0" fontId="0" fillId="0" borderId="16" xfId="0" applyBorder="1" applyAlignment="1" applyProtection="1">
      <alignment horizontal="center"/>
      <protection hidden="1"/>
    </xf>
    <xf numFmtId="0" fontId="137" fillId="0" borderId="0" xfId="5" applyFont="1" applyAlignment="1" applyProtection="1">
      <alignment horizontal="center" vertical="center" wrapText="1"/>
      <protection hidden="1"/>
    </xf>
    <xf numFmtId="0" fontId="14" fillId="0" borderId="33" xfId="0" applyFont="1" applyBorder="1" applyAlignment="1" applyProtection="1">
      <alignment horizontal="left" vertical="center"/>
      <protection hidden="1"/>
    </xf>
    <xf numFmtId="41" fontId="14" fillId="0" borderId="13" xfId="0" applyNumberFormat="1" applyFont="1" applyBorder="1" applyAlignment="1" applyProtection="1">
      <alignment horizontal="left" vertical="center"/>
      <protection locked="0"/>
    </xf>
    <xf numFmtId="0" fontId="14" fillId="0" borderId="13" xfId="0" applyFont="1" applyBorder="1" applyAlignment="1" applyProtection="1">
      <alignment horizontal="left" vertical="center"/>
      <protection locked="0"/>
    </xf>
    <xf numFmtId="14" fontId="14" fillId="0" borderId="13" xfId="0" applyNumberFormat="1" applyFont="1" applyBorder="1" applyAlignment="1" applyProtection="1">
      <alignment horizontal="left" vertical="center"/>
      <protection locked="0"/>
    </xf>
    <xf numFmtId="0" fontId="109" fillId="14" borderId="51" xfId="34" applyFont="1" applyFill="1" applyBorder="1" applyAlignment="1" applyProtection="1">
      <alignment horizontal="center" vertical="center" wrapText="1"/>
      <protection hidden="1"/>
    </xf>
    <xf numFmtId="0" fontId="109" fillId="14" borderId="38" xfId="34" applyFont="1" applyFill="1" applyBorder="1" applyAlignment="1" applyProtection="1">
      <alignment horizontal="center" vertical="center" wrapText="1"/>
      <protection hidden="1"/>
    </xf>
    <xf numFmtId="0" fontId="109" fillId="14" borderId="39" xfId="34" applyFont="1" applyFill="1" applyBorder="1" applyAlignment="1" applyProtection="1">
      <alignment horizontal="center" vertical="center" wrapText="1"/>
      <protection hidden="1"/>
    </xf>
    <xf numFmtId="0" fontId="109" fillId="14" borderId="40" xfId="34" applyFont="1" applyFill="1" applyBorder="1" applyAlignment="1" applyProtection="1">
      <alignment horizontal="center" vertical="center" wrapText="1"/>
      <protection hidden="1"/>
    </xf>
    <xf numFmtId="0" fontId="109" fillId="14" borderId="46" xfId="34" applyFont="1" applyFill="1" applyBorder="1" applyAlignment="1" applyProtection="1">
      <alignment horizontal="center" vertical="center" wrapText="1"/>
      <protection hidden="1"/>
    </xf>
    <xf numFmtId="0" fontId="109" fillId="14" borderId="45" xfId="34" applyFont="1" applyFill="1" applyBorder="1" applyAlignment="1" applyProtection="1">
      <alignment horizontal="center" vertical="center" wrapText="1"/>
      <protection hidden="1"/>
    </xf>
    <xf numFmtId="0" fontId="109" fillId="14" borderId="125" xfId="34" applyFont="1" applyFill="1" applyBorder="1" applyAlignment="1" applyProtection="1">
      <alignment horizontal="center" vertical="center" wrapText="1"/>
      <protection hidden="1"/>
    </xf>
    <xf numFmtId="0" fontId="109" fillId="14" borderId="142" xfId="34" applyFont="1" applyFill="1" applyBorder="1" applyAlignment="1" applyProtection="1">
      <alignment horizontal="center" vertical="center" wrapText="1"/>
      <protection hidden="1"/>
    </xf>
    <xf numFmtId="0" fontId="109" fillId="14" borderId="24" xfId="34" applyFont="1" applyFill="1" applyBorder="1" applyAlignment="1" applyProtection="1">
      <alignment horizontal="center" vertical="center" wrapText="1"/>
      <protection hidden="1"/>
    </xf>
    <xf numFmtId="0" fontId="28" fillId="14" borderId="11" xfId="34" applyFont="1" applyFill="1" applyBorder="1" applyAlignment="1" applyProtection="1">
      <alignment horizontal="center" vertical="center"/>
      <protection hidden="1"/>
    </xf>
    <xf numFmtId="0" fontId="28" fillId="14" borderId="27" xfId="34" applyFont="1" applyFill="1" applyBorder="1" applyAlignment="1" applyProtection="1">
      <alignment horizontal="center" vertical="center"/>
      <protection hidden="1"/>
    </xf>
    <xf numFmtId="10" fontId="116" fillId="36" borderId="7" xfId="7" applyNumberFormat="1" applyFont="1" applyFill="1" applyBorder="1" applyAlignment="1" applyProtection="1">
      <alignment horizontal="center" vertical="center"/>
      <protection hidden="1"/>
    </xf>
    <xf numFmtId="10" fontId="116" fillId="36" borderId="14" xfId="7" applyNumberFormat="1" applyFont="1" applyFill="1" applyBorder="1" applyAlignment="1" applyProtection="1">
      <alignment horizontal="center" vertical="center"/>
      <protection hidden="1"/>
    </xf>
    <xf numFmtId="10" fontId="116" fillId="36" borderId="8" xfId="7" applyNumberFormat="1" applyFont="1" applyFill="1" applyBorder="1" applyAlignment="1" applyProtection="1">
      <alignment horizontal="center"/>
      <protection hidden="1"/>
    </xf>
    <xf numFmtId="10" fontId="116" fillId="36" borderId="15" xfId="7" applyNumberFormat="1" applyFont="1" applyFill="1" applyBorder="1" applyAlignment="1" applyProtection="1">
      <alignment horizontal="center"/>
      <protection hidden="1"/>
    </xf>
    <xf numFmtId="0" fontId="116" fillId="5" borderId="144" xfId="5" applyFont="1" applyFill="1" applyBorder="1" applyAlignment="1" applyProtection="1">
      <alignment horizontal="center" vertical="center" wrapText="1"/>
      <protection hidden="1"/>
    </xf>
    <xf numFmtId="0" fontId="116" fillId="5" borderId="145" xfId="5" applyFont="1" applyFill="1" applyBorder="1" applyAlignment="1" applyProtection="1">
      <alignment horizontal="center" vertical="center" wrapText="1"/>
      <protection hidden="1"/>
    </xf>
    <xf numFmtId="0" fontId="116" fillId="5" borderId="31" xfId="5" applyFont="1" applyFill="1" applyBorder="1" applyAlignment="1" applyProtection="1">
      <alignment horizontal="center" vertical="center" wrapText="1"/>
      <protection hidden="1"/>
    </xf>
    <xf numFmtId="0" fontId="116" fillId="5" borderId="35" xfId="5" applyFont="1" applyFill="1" applyBorder="1" applyAlignment="1" applyProtection="1">
      <alignment horizontal="center" vertical="center" wrapText="1"/>
      <protection hidden="1"/>
    </xf>
    <xf numFmtId="9" fontId="27" fillId="15" borderId="143" xfId="7" applyFont="1" applyFill="1" applyBorder="1" applyAlignment="1" applyProtection="1">
      <alignment horizontal="center" vertical="center" wrapText="1"/>
      <protection hidden="1"/>
    </xf>
    <xf numFmtId="9" fontId="27" fillId="15" borderId="14" xfId="7" applyFont="1" applyFill="1" applyBorder="1" applyAlignment="1" applyProtection="1">
      <alignment horizontal="center" vertical="center" wrapText="1"/>
      <protection hidden="1"/>
    </xf>
    <xf numFmtId="175" fontId="116" fillId="5" borderId="143" xfId="7" applyNumberFormat="1" applyFont="1" applyFill="1" applyBorder="1" applyAlignment="1" applyProtection="1">
      <alignment horizontal="center" vertical="center" wrapText="1"/>
      <protection hidden="1"/>
    </xf>
    <xf numFmtId="175" fontId="116" fillId="5" borderId="14" xfId="7" applyNumberFormat="1" applyFont="1" applyFill="1" applyBorder="1" applyAlignment="1" applyProtection="1">
      <alignment horizontal="center" vertical="center" wrapText="1"/>
      <protection hidden="1"/>
    </xf>
    <xf numFmtId="0" fontId="25" fillId="5" borderId="10" xfId="5" applyFont="1" applyFill="1" applyBorder="1" applyAlignment="1" applyProtection="1">
      <alignment horizontal="center" vertical="center" wrapText="1"/>
      <protection hidden="1"/>
    </xf>
    <xf numFmtId="0" fontId="25" fillId="5" borderId="16" xfId="5" applyFont="1" applyFill="1" applyBorder="1" applyAlignment="1" applyProtection="1">
      <alignment horizontal="center" vertical="center" wrapText="1"/>
      <protection hidden="1"/>
    </xf>
    <xf numFmtId="0" fontId="25" fillId="5" borderId="29" xfId="5" applyFont="1" applyFill="1" applyBorder="1" applyAlignment="1" applyProtection="1">
      <alignment horizontal="center" vertical="center" wrapText="1"/>
      <protection hidden="1"/>
    </xf>
    <xf numFmtId="9" fontId="109" fillId="5" borderId="7" xfId="5" applyNumberFormat="1" applyFont="1" applyFill="1" applyBorder="1" applyAlignment="1" applyProtection="1">
      <alignment horizontal="center" vertical="center" wrapText="1"/>
      <protection hidden="1"/>
    </xf>
    <xf numFmtId="9" fontId="109" fillId="5" borderId="24" xfId="5" applyNumberFormat="1" applyFont="1" applyFill="1" applyBorder="1" applyAlignment="1" applyProtection="1">
      <alignment horizontal="center" vertical="center" wrapText="1"/>
      <protection hidden="1"/>
    </xf>
    <xf numFmtId="9" fontId="109" fillId="5" borderId="14" xfId="5" applyNumberFormat="1" applyFont="1" applyFill="1" applyBorder="1" applyAlignment="1" applyProtection="1">
      <alignment horizontal="center" vertical="center" wrapText="1"/>
      <protection hidden="1"/>
    </xf>
    <xf numFmtId="9" fontId="109" fillId="5" borderId="156" xfId="5" applyNumberFormat="1" applyFont="1" applyFill="1" applyBorder="1" applyAlignment="1" applyProtection="1">
      <alignment horizontal="center" vertical="center" wrapText="1"/>
      <protection hidden="1"/>
    </xf>
    <xf numFmtId="9" fontId="109" fillId="5" borderId="45" xfId="5" applyNumberFormat="1" applyFont="1" applyFill="1" applyBorder="1" applyAlignment="1" applyProtection="1">
      <alignment horizontal="center" vertical="center" wrapText="1"/>
      <protection hidden="1"/>
    </xf>
    <xf numFmtId="9" fontId="109" fillId="5" borderId="31" xfId="5" applyNumberFormat="1" applyFont="1" applyFill="1" applyBorder="1" applyAlignment="1" applyProtection="1">
      <alignment horizontal="center" vertical="center" wrapText="1"/>
      <protection hidden="1"/>
    </xf>
    <xf numFmtId="0" fontId="116" fillId="5" borderId="158" xfId="5" applyFont="1" applyFill="1" applyBorder="1" applyAlignment="1" applyProtection="1">
      <alignment horizontal="left" vertical="center" wrapText="1"/>
      <protection hidden="1"/>
    </xf>
    <xf numFmtId="0" fontId="116" fillId="5" borderId="24" xfId="5" applyFont="1" applyFill="1" applyBorder="1" applyAlignment="1" applyProtection="1">
      <alignment horizontal="left" vertical="center" wrapText="1"/>
      <protection hidden="1"/>
    </xf>
    <xf numFmtId="0" fontId="116" fillId="5" borderId="14" xfId="5" applyFont="1" applyFill="1" applyBorder="1" applyAlignment="1" applyProtection="1">
      <alignment horizontal="left" vertical="center" wrapText="1"/>
      <protection hidden="1"/>
    </xf>
    <xf numFmtId="0" fontId="116" fillId="5" borderId="7" xfId="5" applyFont="1" applyFill="1" applyBorder="1" applyAlignment="1" applyProtection="1">
      <alignment horizontal="left" vertical="center" wrapText="1"/>
      <protection hidden="1"/>
    </xf>
    <xf numFmtId="9" fontId="27" fillId="15" borderId="7" xfId="7" applyFont="1" applyFill="1" applyBorder="1" applyAlignment="1" applyProtection="1">
      <alignment horizontal="center" vertical="center" wrapText="1"/>
      <protection hidden="1"/>
    </xf>
    <xf numFmtId="10" fontId="116" fillId="5" borderId="7" xfId="7" applyNumberFormat="1" applyFont="1" applyFill="1" applyBorder="1" applyAlignment="1" applyProtection="1">
      <alignment horizontal="center" vertical="center" wrapText="1"/>
      <protection hidden="1"/>
    </xf>
    <xf numFmtId="10" fontId="116" fillId="5" borderId="14" xfId="7" applyNumberFormat="1" applyFont="1" applyFill="1" applyBorder="1" applyAlignment="1" applyProtection="1">
      <alignment horizontal="center" vertical="center" wrapText="1"/>
      <protection hidden="1"/>
    </xf>
    <xf numFmtId="0" fontId="25" fillId="5" borderId="38" xfId="5" applyFont="1" applyFill="1" applyBorder="1" applyAlignment="1" applyProtection="1">
      <alignment horizontal="center" vertical="center" wrapText="1"/>
      <protection hidden="1"/>
    </xf>
    <xf numFmtId="0" fontId="25" fillId="5" borderId="39" xfId="5" applyFont="1" applyFill="1" applyBorder="1" applyAlignment="1" applyProtection="1">
      <alignment horizontal="center" vertical="center" wrapText="1"/>
      <protection hidden="1"/>
    </xf>
    <xf numFmtId="0" fontId="25" fillId="5" borderId="40" xfId="5" applyFont="1" applyFill="1" applyBorder="1" applyAlignment="1" applyProtection="1">
      <alignment horizontal="center" vertical="center" wrapText="1"/>
      <protection hidden="1"/>
    </xf>
    <xf numFmtId="0" fontId="25" fillId="5" borderId="124" xfId="5" applyFont="1" applyFill="1" applyBorder="1" applyAlignment="1" applyProtection="1">
      <alignment horizontal="center" vertical="center" wrapText="1"/>
      <protection hidden="1"/>
    </xf>
    <xf numFmtId="0" fontId="25" fillId="5" borderId="128" xfId="5" applyFont="1" applyFill="1" applyBorder="1" applyAlignment="1" applyProtection="1">
      <alignment horizontal="center" vertical="center" wrapText="1"/>
      <protection hidden="1"/>
    </xf>
    <xf numFmtId="0" fontId="25" fillId="5" borderId="130" xfId="5" applyFont="1" applyFill="1" applyBorder="1" applyAlignment="1" applyProtection="1">
      <alignment horizontal="center" vertical="center" wrapText="1"/>
      <protection hidden="1"/>
    </xf>
    <xf numFmtId="0" fontId="116" fillId="5" borderId="143" xfId="5" applyFont="1" applyFill="1" applyBorder="1" applyAlignment="1" applyProtection="1">
      <alignment horizontal="left" vertical="center" wrapText="1"/>
      <protection hidden="1"/>
    </xf>
    <xf numFmtId="175" fontId="116" fillId="36" borderId="143" xfId="7" applyNumberFormat="1" applyFont="1" applyFill="1" applyBorder="1" applyAlignment="1" applyProtection="1">
      <alignment horizontal="center" vertical="center"/>
      <protection hidden="1"/>
    </xf>
    <xf numFmtId="175" fontId="116" fillId="36" borderId="14" xfId="7" applyNumberFormat="1" applyFont="1" applyFill="1" applyBorder="1" applyAlignment="1" applyProtection="1">
      <alignment horizontal="center" vertical="center"/>
      <protection hidden="1"/>
    </xf>
    <xf numFmtId="175" fontId="116" fillId="36" borderId="28" xfId="7" applyNumberFormat="1" applyFont="1" applyFill="1" applyBorder="1" applyAlignment="1" applyProtection="1">
      <alignment horizontal="center"/>
      <protection hidden="1"/>
    </xf>
    <xf numFmtId="175" fontId="116" fillId="36" borderId="15" xfId="7" applyNumberFormat="1" applyFont="1" applyFill="1" applyBorder="1" applyAlignment="1" applyProtection="1">
      <alignment horizontal="center"/>
      <protection hidden="1"/>
    </xf>
    <xf numFmtId="9" fontId="109" fillId="15" borderId="2" xfId="5" applyNumberFormat="1" applyFont="1" applyFill="1" applyBorder="1" applyAlignment="1" applyProtection="1">
      <alignment horizontal="center" vertical="center" wrapText="1"/>
      <protection hidden="1"/>
    </xf>
    <xf numFmtId="0" fontId="109" fillId="14" borderId="27" xfId="5" applyFont="1" applyFill="1" applyBorder="1" applyAlignment="1" applyProtection="1">
      <alignment horizontal="center" vertical="center" wrapText="1"/>
      <protection hidden="1"/>
    </xf>
    <xf numFmtId="0" fontId="109" fillId="14" borderId="132" xfId="5" applyFont="1" applyFill="1" applyBorder="1" applyAlignment="1" applyProtection="1">
      <alignment horizontal="center" vertical="center" wrapText="1"/>
      <protection hidden="1"/>
    </xf>
    <xf numFmtId="0" fontId="109" fillId="14" borderId="48" xfId="5" applyFont="1" applyFill="1" applyBorder="1" applyAlignment="1" applyProtection="1">
      <alignment horizontal="center" vertical="center" wrapText="1"/>
      <protection hidden="1"/>
    </xf>
    <xf numFmtId="0" fontId="109" fillId="14" borderId="156" xfId="5" applyFont="1" applyFill="1" applyBorder="1" applyAlignment="1" applyProtection="1">
      <alignment horizontal="center" vertical="center" wrapText="1"/>
      <protection hidden="1"/>
    </xf>
    <xf numFmtId="0" fontId="109" fillId="14" borderId="154" xfId="5" applyFont="1" applyFill="1" applyBorder="1" applyAlignment="1" applyProtection="1">
      <alignment horizontal="center" vertical="center" wrapText="1"/>
      <protection hidden="1"/>
    </xf>
    <xf numFmtId="0" fontId="109" fillId="14" borderId="157" xfId="5" applyFont="1" applyFill="1" applyBorder="1" applyAlignment="1" applyProtection="1">
      <alignment horizontal="center" vertical="center" wrapText="1"/>
      <protection hidden="1"/>
    </xf>
    <xf numFmtId="0" fontId="133" fillId="14" borderId="19" xfId="5" applyFont="1" applyFill="1" applyBorder="1" applyAlignment="1" applyProtection="1">
      <alignment horizontal="center" vertical="center" wrapText="1"/>
      <protection hidden="1"/>
    </xf>
    <xf numFmtId="0" fontId="116" fillId="5" borderId="127" xfId="5" applyFont="1" applyFill="1" applyBorder="1" applyAlignment="1" applyProtection="1">
      <alignment horizontal="center" vertical="center" wrapText="1"/>
      <protection hidden="1"/>
    </xf>
    <xf numFmtId="0" fontId="116" fillId="5" borderId="6" xfId="5" applyFont="1" applyFill="1" applyBorder="1" applyAlignment="1" applyProtection="1">
      <alignment horizontal="center" vertical="center" wrapText="1"/>
      <protection hidden="1"/>
    </xf>
    <xf numFmtId="0" fontId="116" fillId="5" borderId="173" xfId="5" applyFont="1" applyFill="1" applyBorder="1" applyAlignment="1" applyProtection="1">
      <alignment horizontal="center" vertical="center" wrapText="1"/>
      <protection hidden="1"/>
    </xf>
    <xf numFmtId="0" fontId="116" fillId="5" borderId="174" xfId="5" applyFont="1" applyFill="1" applyBorder="1" applyAlignment="1" applyProtection="1">
      <alignment horizontal="center" vertical="center" wrapText="1"/>
      <protection hidden="1"/>
    </xf>
    <xf numFmtId="175" fontId="116" fillId="5" borderId="7" xfId="2" applyNumberFormat="1" applyFont="1" applyFill="1" applyBorder="1" applyAlignment="1" applyProtection="1">
      <alignment horizontal="center" vertical="center" wrapText="1"/>
      <protection hidden="1"/>
    </xf>
    <xf numFmtId="175" fontId="116" fillId="5" borderId="172" xfId="2" applyNumberFormat="1" applyFont="1" applyFill="1" applyBorder="1" applyAlignment="1" applyProtection="1">
      <alignment horizontal="center" vertical="center" wrapText="1"/>
      <protection hidden="1"/>
    </xf>
    <xf numFmtId="9" fontId="66" fillId="0" borderId="167" xfId="2" applyFont="1" applyBorder="1" applyAlignment="1" applyProtection="1">
      <alignment horizontal="center" vertical="center"/>
      <protection hidden="1"/>
    </xf>
    <xf numFmtId="9" fontId="66" fillId="0" borderId="24" xfId="2" applyFont="1" applyBorder="1" applyAlignment="1" applyProtection="1">
      <alignment horizontal="center" vertical="center"/>
      <protection hidden="1"/>
    </xf>
    <xf numFmtId="9" fontId="66" fillId="0" borderId="14" xfId="2" applyFont="1" applyBorder="1" applyAlignment="1" applyProtection="1">
      <alignment horizontal="center" vertical="center"/>
      <protection hidden="1"/>
    </xf>
    <xf numFmtId="9" fontId="109" fillId="15" borderId="157" xfId="5" applyNumberFormat="1" applyFont="1" applyFill="1" applyBorder="1" applyAlignment="1" applyProtection="1">
      <alignment horizontal="center" vertical="center" wrapText="1"/>
      <protection hidden="1"/>
    </xf>
    <xf numFmtId="175" fontId="109" fillId="15" borderId="158" xfId="7" applyNumberFormat="1" applyFont="1" applyFill="1" applyBorder="1" applyAlignment="1" applyProtection="1">
      <alignment horizontal="center" vertical="center"/>
      <protection hidden="1"/>
    </xf>
    <xf numFmtId="175" fontId="109" fillId="15" borderId="14" xfId="7" applyNumberFormat="1" applyFont="1" applyFill="1" applyBorder="1" applyAlignment="1" applyProtection="1">
      <alignment horizontal="center" vertical="center"/>
      <protection hidden="1"/>
    </xf>
    <xf numFmtId="175" fontId="109" fillId="15" borderId="28" xfId="7" applyNumberFormat="1" applyFont="1" applyFill="1" applyBorder="1" applyAlignment="1" applyProtection="1">
      <alignment horizontal="center" vertical="center"/>
      <protection hidden="1"/>
    </xf>
    <xf numFmtId="175" fontId="109" fillId="15" borderId="15" xfId="7" applyNumberFormat="1" applyFont="1" applyFill="1" applyBorder="1" applyAlignment="1" applyProtection="1">
      <alignment horizontal="center" vertical="center"/>
      <protection hidden="1"/>
    </xf>
    <xf numFmtId="175" fontId="27" fillId="15" borderId="38" xfId="7" applyNumberFormat="1" applyFont="1" applyFill="1" applyBorder="1" applyAlignment="1" applyProtection="1">
      <alignment horizontal="center" vertical="center" wrapText="1"/>
      <protection hidden="1"/>
    </xf>
    <xf numFmtId="175" fontId="27" fillId="15" borderId="163" xfId="7" applyNumberFormat="1" applyFont="1" applyFill="1" applyBorder="1" applyAlignment="1" applyProtection="1">
      <alignment horizontal="center" vertical="center" wrapText="1"/>
      <protection hidden="1"/>
    </xf>
    <xf numFmtId="175" fontId="27" fillId="15" borderId="133" xfId="7" applyNumberFormat="1" applyFont="1" applyFill="1" applyBorder="1" applyAlignment="1" applyProtection="1">
      <alignment horizontal="center" vertical="center" wrapText="1"/>
      <protection hidden="1"/>
    </xf>
    <xf numFmtId="175" fontId="116" fillId="15" borderId="164" xfId="7" applyNumberFormat="1" applyFont="1" applyFill="1" applyBorder="1" applyAlignment="1" applyProtection="1">
      <alignment horizontal="center" vertical="center" wrapText="1"/>
      <protection hidden="1"/>
    </xf>
    <xf numFmtId="175" fontId="116" fillId="15" borderId="39" xfId="7" applyNumberFormat="1" applyFont="1" applyFill="1" applyBorder="1" applyAlignment="1" applyProtection="1">
      <alignment horizontal="center" vertical="center" wrapText="1"/>
      <protection hidden="1"/>
    </xf>
    <xf numFmtId="175" fontId="116" fillId="15" borderId="163" xfId="7" applyNumberFormat="1" applyFont="1" applyFill="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21" xfId="0" applyFont="1" applyBorder="1" applyAlignment="1" applyProtection="1">
      <alignment horizontal="center" vertical="center" wrapText="1"/>
      <protection hidden="1"/>
    </xf>
    <xf numFmtId="0" fontId="109" fillId="5" borderId="144" xfId="5" applyFont="1" applyFill="1" applyBorder="1" applyAlignment="1" applyProtection="1">
      <alignment horizontal="center" vertical="center" wrapText="1"/>
      <protection hidden="1"/>
    </xf>
    <xf numFmtId="0" fontId="109" fillId="5" borderId="145" xfId="5" applyFont="1" applyFill="1" applyBorder="1" applyAlignment="1" applyProtection="1">
      <alignment horizontal="center" vertical="center" wrapText="1"/>
      <protection hidden="1"/>
    </xf>
    <xf numFmtId="0" fontId="109" fillId="5" borderId="31" xfId="5" applyFont="1" applyFill="1" applyBorder="1" applyAlignment="1" applyProtection="1">
      <alignment horizontal="center" vertical="center" wrapText="1"/>
      <protection hidden="1"/>
    </xf>
    <xf numFmtId="0" fontId="109" fillId="5" borderId="35" xfId="5" applyFont="1" applyFill="1" applyBorder="1" applyAlignment="1" applyProtection="1">
      <alignment horizontal="center" vertical="center" wrapText="1"/>
      <protection hidden="1"/>
    </xf>
    <xf numFmtId="9" fontId="109" fillId="15" borderId="143" xfId="7" applyFont="1" applyFill="1" applyBorder="1" applyAlignment="1" applyProtection="1">
      <alignment horizontal="center" vertical="center" wrapText="1"/>
      <protection hidden="1"/>
    </xf>
    <xf numFmtId="9" fontId="109" fillId="15" borderId="14" xfId="7" applyFont="1" applyFill="1" applyBorder="1" applyAlignment="1" applyProtection="1">
      <alignment horizontal="center" vertical="center" wrapText="1"/>
      <protection hidden="1"/>
    </xf>
    <xf numFmtId="175" fontId="109" fillId="15" borderId="143" xfId="7" applyNumberFormat="1" applyFont="1" applyFill="1" applyBorder="1" applyAlignment="1" applyProtection="1">
      <alignment horizontal="center" vertical="center"/>
      <protection hidden="1"/>
    </xf>
    <xf numFmtId="0" fontId="116" fillId="15" borderId="45" xfId="5" applyFont="1" applyFill="1" applyBorder="1" applyAlignment="1" applyProtection="1">
      <alignment horizontal="center" vertical="center" wrapText="1"/>
      <protection hidden="1"/>
    </xf>
    <xf numFmtId="0" fontId="116" fillId="15" borderId="46" xfId="5" applyFont="1" applyFill="1" applyBorder="1" applyAlignment="1" applyProtection="1">
      <alignment horizontal="center" vertical="center" wrapText="1"/>
      <protection hidden="1"/>
    </xf>
    <xf numFmtId="0" fontId="116" fillId="15" borderId="173" xfId="5" applyFont="1" applyFill="1" applyBorder="1" applyAlignment="1" applyProtection="1">
      <alignment horizontal="center" vertical="center" wrapText="1"/>
      <protection hidden="1"/>
    </xf>
    <xf numFmtId="0" fontId="116" fillId="15" borderId="174" xfId="5" applyFont="1" applyFill="1" applyBorder="1" applyAlignment="1" applyProtection="1">
      <alignment horizontal="center" vertical="center" wrapText="1"/>
      <protection hidden="1"/>
    </xf>
    <xf numFmtId="10" fontId="116" fillId="36" borderId="28" xfId="7" applyNumberFormat="1" applyFont="1" applyFill="1" applyBorder="1" applyAlignment="1" applyProtection="1">
      <alignment horizontal="center"/>
      <protection hidden="1"/>
    </xf>
    <xf numFmtId="0" fontId="109" fillId="59" borderId="99" xfId="5" applyFont="1" applyFill="1" applyBorder="1" applyAlignment="1" applyProtection="1">
      <alignment horizontal="center" vertical="center" wrapText="1"/>
      <protection hidden="1"/>
    </xf>
    <xf numFmtId="0" fontId="109" fillId="59" borderId="103" xfId="5" applyFont="1" applyFill="1" applyBorder="1" applyAlignment="1" applyProtection="1">
      <alignment horizontal="center" vertical="center" wrapText="1"/>
      <protection hidden="1"/>
    </xf>
    <xf numFmtId="175" fontId="116" fillId="36" borderId="133" xfId="7" applyNumberFormat="1" applyFont="1" applyFill="1" applyBorder="1" applyAlignment="1" applyProtection="1">
      <alignment horizontal="center"/>
      <protection hidden="1"/>
    </xf>
    <xf numFmtId="0" fontId="25" fillId="5" borderId="49" xfId="5" applyFont="1" applyFill="1" applyBorder="1" applyAlignment="1" applyProtection="1">
      <alignment horizontal="center" vertical="center" wrapText="1"/>
      <protection hidden="1"/>
    </xf>
    <xf numFmtId="0" fontId="25" fillId="5" borderId="25" xfId="5" applyFont="1" applyFill="1" applyBorder="1" applyAlignment="1" applyProtection="1">
      <alignment horizontal="center" vertical="center" wrapText="1"/>
      <protection hidden="1"/>
    </xf>
    <xf numFmtId="175" fontId="65" fillId="65" borderId="128" xfId="5" applyNumberFormat="1" applyFont="1" applyFill="1" applyBorder="1" applyAlignment="1" applyProtection="1">
      <alignment horizontal="center" vertical="center" wrapText="1"/>
      <protection hidden="1"/>
    </xf>
    <xf numFmtId="175" fontId="116" fillId="5" borderId="158" xfId="2" applyNumberFormat="1" applyFont="1" applyFill="1" applyBorder="1" applyAlignment="1" applyProtection="1">
      <alignment horizontal="center" vertical="center" wrapText="1"/>
      <protection hidden="1"/>
    </xf>
    <xf numFmtId="175" fontId="116" fillId="5" borderId="24" xfId="2" applyNumberFormat="1" applyFont="1" applyFill="1" applyBorder="1" applyAlignment="1" applyProtection="1">
      <alignment horizontal="center" vertical="center" wrapText="1"/>
      <protection hidden="1"/>
    </xf>
    <xf numFmtId="175" fontId="116" fillId="5" borderId="14" xfId="2" applyNumberFormat="1" applyFont="1" applyFill="1" applyBorder="1" applyAlignment="1" applyProtection="1">
      <alignment horizontal="center" vertical="center" wrapText="1"/>
      <protection hidden="1"/>
    </xf>
    <xf numFmtId="0" fontId="109" fillId="5" borderId="49" xfId="5" applyFont="1" applyFill="1" applyBorder="1" applyAlignment="1" applyProtection="1">
      <alignment horizontal="center" vertical="center" wrapText="1"/>
      <protection hidden="1"/>
    </xf>
    <xf numFmtId="0" fontId="109" fillId="5" borderId="16" xfId="5" applyFont="1" applyFill="1" applyBorder="1" applyAlignment="1" applyProtection="1">
      <alignment horizontal="center" vertical="center" wrapText="1"/>
      <protection hidden="1"/>
    </xf>
    <xf numFmtId="0" fontId="109" fillId="5" borderId="25" xfId="5" applyFont="1" applyFill="1" applyBorder="1" applyAlignment="1" applyProtection="1">
      <alignment horizontal="center" vertical="center" wrapText="1"/>
      <protection hidden="1"/>
    </xf>
    <xf numFmtId="0" fontId="109" fillId="5" borderId="163" xfId="5" applyFont="1" applyFill="1" applyBorder="1" applyAlignment="1" applyProtection="1">
      <alignment horizontal="center" vertical="center" wrapText="1"/>
      <protection hidden="1"/>
    </xf>
    <xf numFmtId="0" fontId="109" fillId="5" borderId="128" xfId="5" applyFont="1" applyFill="1" applyBorder="1" applyAlignment="1" applyProtection="1">
      <alignment horizontal="center" vertical="center" wrapText="1"/>
      <protection hidden="1"/>
    </xf>
    <xf numFmtId="0" fontId="109" fillId="5" borderId="130" xfId="5" applyFont="1" applyFill="1" applyBorder="1" applyAlignment="1" applyProtection="1">
      <alignment horizontal="center" vertical="center" wrapText="1"/>
      <protection hidden="1"/>
    </xf>
    <xf numFmtId="9" fontId="27" fillId="15" borderId="167" xfId="2" applyFont="1" applyFill="1" applyBorder="1" applyAlignment="1" applyProtection="1">
      <alignment horizontal="center" vertical="center" wrapText="1"/>
      <protection hidden="1"/>
    </xf>
    <xf numFmtId="9" fontId="27" fillId="15" borderId="172" xfId="2" applyFont="1" applyFill="1" applyBorder="1" applyAlignment="1" applyProtection="1">
      <alignment horizontal="center" vertical="center" wrapText="1"/>
      <protection hidden="1"/>
    </xf>
    <xf numFmtId="175" fontId="116" fillId="15" borderId="24" xfId="2" applyNumberFormat="1" applyFont="1" applyFill="1" applyBorder="1" applyAlignment="1" applyProtection="1">
      <alignment horizontal="center" vertical="center" wrapText="1"/>
      <protection hidden="1"/>
    </xf>
    <xf numFmtId="175" fontId="116" fillId="15" borderId="14" xfId="2" applyNumberFormat="1" applyFont="1" applyFill="1" applyBorder="1" applyAlignment="1" applyProtection="1">
      <alignment horizontal="center" vertical="center" wrapText="1"/>
      <protection hidden="1"/>
    </xf>
    <xf numFmtId="9" fontId="27" fillId="15" borderId="158" xfId="7" applyFont="1" applyFill="1" applyBorder="1" applyAlignment="1" applyProtection="1">
      <alignment horizontal="center" vertical="center" wrapText="1"/>
      <protection hidden="1"/>
    </xf>
    <xf numFmtId="9" fontId="27" fillId="15" borderId="24" xfId="7" applyFont="1" applyFill="1" applyBorder="1" applyAlignment="1" applyProtection="1">
      <alignment horizontal="center" vertical="center" wrapText="1"/>
      <protection hidden="1"/>
    </xf>
    <xf numFmtId="175" fontId="116" fillId="5" borderId="28" xfId="7" applyNumberFormat="1" applyFont="1" applyFill="1" applyBorder="1" applyAlignment="1" applyProtection="1">
      <alignment horizontal="center" vertical="center" wrapText="1"/>
      <protection hidden="1"/>
    </xf>
    <xf numFmtId="175" fontId="116" fillId="5" borderId="15" xfId="7" applyNumberFormat="1" applyFont="1" applyFill="1" applyBorder="1" applyAlignment="1" applyProtection="1">
      <alignment horizontal="center" vertical="center" wrapText="1"/>
      <protection hidden="1"/>
    </xf>
    <xf numFmtId="0" fontId="109" fillId="5" borderId="45" xfId="5" applyFont="1" applyFill="1" applyBorder="1" applyAlignment="1" applyProtection="1">
      <alignment horizontal="center" vertical="center" wrapText="1"/>
      <protection hidden="1"/>
    </xf>
    <xf numFmtId="0" fontId="109" fillId="5" borderId="46" xfId="5" applyFont="1" applyFill="1" applyBorder="1" applyAlignment="1" applyProtection="1">
      <alignment horizontal="center" vertical="center" wrapText="1"/>
      <protection hidden="1"/>
    </xf>
    <xf numFmtId="9" fontId="109" fillId="15" borderId="158" xfId="7" applyFont="1" applyFill="1" applyBorder="1" applyAlignment="1" applyProtection="1">
      <alignment horizontal="center" vertical="center" wrapText="1"/>
      <protection hidden="1"/>
    </xf>
    <xf numFmtId="0" fontId="164" fillId="0" borderId="0" xfId="5" applyFont="1" applyAlignment="1" applyProtection="1">
      <alignment horizontal="center"/>
      <protection locked="0"/>
    </xf>
    <xf numFmtId="0" fontId="47" fillId="0" borderId="0" xfId="5" applyFont="1" applyAlignment="1" applyProtection="1">
      <alignment horizontal="center"/>
      <protection locked="0"/>
    </xf>
    <xf numFmtId="0" fontId="25" fillId="0" borderId="4" xfId="0" applyFont="1" applyBorder="1" applyAlignment="1" applyProtection="1">
      <alignment horizontal="center" vertical="center"/>
      <protection locked="0"/>
    </xf>
    <xf numFmtId="0" fontId="20" fillId="0" borderId="33" xfId="5" applyFont="1" applyBorder="1" applyAlignment="1" applyProtection="1">
      <alignment horizontal="center" vertical="center"/>
      <protection locked="0"/>
    </xf>
    <xf numFmtId="0" fontId="20" fillId="0" borderId="0" xfId="5" applyFont="1" applyAlignment="1" applyProtection="1">
      <alignment horizontal="center" vertical="center"/>
      <protection locked="0"/>
    </xf>
    <xf numFmtId="0" fontId="14" fillId="0" borderId="4" xfId="0" applyFont="1" applyBorder="1" applyAlignment="1" applyProtection="1">
      <alignment horizontal="center" vertical="top"/>
      <protection locked="0"/>
    </xf>
    <xf numFmtId="14" fontId="20" fillId="0" borderId="33" xfId="5" applyNumberFormat="1" applyFont="1" applyBorder="1" applyAlignment="1" applyProtection="1">
      <alignment horizontal="center" vertical="center"/>
      <protection locked="0"/>
    </xf>
    <xf numFmtId="0" fontId="19" fillId="20" borderId="4" xfId="0" applyFont="1" applyFill="1" applyBorder="1" applyAlignment="1" applyProtection="1">
      <alignment horizontal="center"/>
      <protection hidden="1"/>
    </xf>
    <xf numFmtId="0" fontId="25" fillId="0" borderId="93" xfId="0" applyFont="1" applyBorder="1" applyAlignment="1" applyProtection="1">
      <alignment horizontal="left" vertical="center"/>
      <protection locked="0"/>
    </xf>
    <xf numFmtId="0" fontId="25" fillId="0" borderId="14" xfId="0" applyFont="1" applyBorder="1" applyAlignment="1" applyProtection="1">
      <alignment horizontal="left" vertical="center"/>
      <protection locked="0"/>
    </xf>
    <xf numFmtId="0" fontId="14" fillId="0" borderId="94" xfId="0" applyFont="1" applyBorder="1" applyAlignment="1" applyProtection="1">
      <alignment horizontal="center"/>
      <protection locked="0"/>
    </xf>
    <xf numFmtId="0" fontId="14" fillId="0" borderId="95" xfId="0" applyFont="1" applyBorder="1" applyAlignment="1" applyProtection="1">
      <alignment horizontal="center"/>
      <protection locked="0"/>
    </xf>
    <xf numFmtId="0" fontId="14" fillId="0" borderId="96" xfId="0" applyFont="1" applyBorder="1" applyAlignment="1" applyProtection="1">
      <alignment horizontal="center"/>
      <protection locked="0"/>
    </xf>
    <xf numFmtId="0" fontId="14" fillId="0" borderId="31" xfId="0" applyFont="1" applyBorder="1" applyAlignment="1" applyProtection="1">
      <alignment horizontal="center"/>
      <protection locked="0"/>
    </xf>
    <xf numFmtId="0" fontId="14" fillId="0" borderId="33" xfId="0" applyFont="1" applyBorder="1" applyAlignment="1" applyProtection="1">
      <alignment horizontal="center"/>
      <protection locked="0"/>
    </xf>
    <xf numFmtId="0" fontId="14" fillId="0" borderId="35" xfId="0" applyFont="1" applyBorder="1" applyAlignment="1" applyProtection="1">
      <alignment horizontal="center"/>
      <protection locked="0"/>
    </xf>
    <xf numFmtId="0" fontId="14" fillId="0" borderId="38" xfId="0" applyFont="1" applyBorder="1" applyAlignment="1" applyProtection="1">
      <alignment horizontal="center" vertical="center"/>
      <protection locked="0"/>
    </xf>
    <xf numFmtId="0" fontId="14" fillId="0" borderId="39" xfId="0" applyFont="1" applyBorder="1" applyAlignment="1" applyProtection="1">
      <alignment horizontal="center" vertical="center"/>
      <protection locked="0"/>
    </xf>
    <xf numFmtId="0" fontId="14" fillId="0" borderId="40" xfId="0" applyFont="1" applyBorder="1" applyAlignment="1" applyProtection="1">
      <alignment horizontal="center" vertical="center"/>
      <protection locked="0"/>
    </xf>
    <xf numFmtId="0" fontId="14" fillId="0" borderId="97" xfId="0" applyFont="1" applyBorder="1" applyAlignment="1" applyProtection="1">
      <alignment horizontal="left" vertical="center"/>
      <protection locked="0"/>
    </xf>
    <xf numFmtId="0" fontId="14" fillId="0" borderId="98"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69" fillId="0" borderId="167" xfId="0" applyFont="1" applyFill="1" applyBorder="1" applyAlignment="1" applyProtection="1">
      <alignment vertical="justify" wrapText="1"/>
      <protection locked="0"/>
    </xf>
    <xf numFmtId="0" fontId="69" fillId="0" borderId="14" xfId="0" applyFont="1" applyFill="1" applyBorder="1" applyAlignment="1" applyProtection="1">
      <alignment vertical="justify" wrapText="1"/>
      <protection locked="0"/>
    </xf>
    <xf numFmtId="0" fontId="69" fillId="0" borderId="24" xfId="0" applyFont="1" applyFill="1" applyBorder="1" applyAlignment="1" applyProtection="1">
      <alignment vertical="justify" wrapText="1"/>
      <protection locked="0"/>
    </xf>
    <xf numFmtId="0" fontId="14" fillId="0" borderId="167" xfId="0" applyFont="1" applyBorder="1" applyAlignment="1">
      <alignment horizontal="center"/>
    </xf>
    <xf numFmtId="0" fontId="14" fillId="0" borderId="14" xfId="0" applyFont="1" applyBorder="1" applyAlignment="1">
      <alignment horizontal="center"/>
    </xf>
    <xf numFmtId="0" fontId="11" fillId="0" borderId="0" xfId="0" applyFont="1" applyAlignment="1" applyProtection="1">
      <alignment horizontal="center"/>
      <protection hidden="1"/>
    </xf>
    <xf numFmtId="0" fontId="22" fillId="0" borderId="0" xfId="0" applyFont="1" applyAlignment="1" applyProtection="1">
      <alignment horizontal="left" vertical="center"/>
      <protection hidden="1"/>
    </xf>
    <xf numFmtId="41" fontId="14" fillId="0" borderId="13" xfId="19" applyFont="1" applyBorder="1" applyAlignment="1" applyProtection="1">
      <alignment horizontal="left" vertical="center" wrapText="1"/>
      <protection hidden="1"/>
    </xf>
    <xf numFmtId="0" fontId="11" fillId="0" borderId="165" xfId="0" applyFont="1" applyFill="1" applyBorder="1" applyAlignment="1" applyProtection="1">
      <alignment horizontal="center" vertical="center" wrapText="1"/>
      <protection hidden="1"/>
    </xf>
    <xf numFmtId="0" fontId="11" fillId="0" borderId="169" xfId="0" applyFont="1" applyFill="1" applyBorder="1" applyAlignment="1" applyProtection="1">
      <alignment horizontal="center" vertical="center" wrapText="1"/>
      <protection hidden="1"/>
    </xf>
    <xf numFmtId="0" fontId="11" fillId="0" borderId="168" xfId="0" applyFont="1" applyFill="1" applyBorder="1" applyAlignment="1" applyProtection="1">
      <alignment horizontal="center" vertical="center" wrapText="1"/>
      <protection hidden="1"/>
    </xf>
    <xf numFmtId="0" fontId="11" fillId="0" borderId="31" xfId="0" applyFont="1" applyFill="1" applyBorder="1" applyAlignment="1" applyProtection="1">
      <alignment horizontal="center" vertical="center" wrapText="1"/>
      <protection hidden="1"/>
    </xf>
    <xf numFmtId="0" fontId="11" fillId="0" borderId="33" xfId="0" applyFont="1" applyFill="1" applyBorder="1" applyAlignment="1" applyProtection="1">
      <alignment horizontal="center" vertical="center" wrapText="1"/>
      <protection hidden="1"/>
    </xf>
    <xf numFmtId="0" fontId="11" fillId="0" borderId="35" xfId="0" applyFont="1" applyFill="1" applyBorder="1" applyAlignment="1" applyProtection="1">
      <alignment horizontal="center" vertical="center" wrapText="1"/>
      <protection hidden="1"/>
    </xf>
    <xf numFmtId="0" fontId="69" fillId="0" borderId="167" xfId="0" applyFont="1" applyBorder="1" applyAlignment="1" applyProtection="1">
      <alignment horizontal="center"/>
      <protection locked="0"/>
    </xf>
    <xf numFmtId="0" fontId="69" fillId="0" borderId="24" xfId="0" applyFont="1" applyBorder="1" applyAlignment="1" applyProtection="1">
      <alignment horizontal="center"/>
      <protection locked="0"/>
    </xf>
    <xf numFmtId="0" fontId="69" fillId="0" borderId="14" xfId="0" applyFont="1" applyBorder="1" applyAlignment="1" applyProtection="1">
      <alignment horizontal="center"/>
      <protection locked="0"/>
    </xf>
    <xf numFmtId="0" fontId="114" fillId="20" borderId="0" xfId="0" applyFont="1" applyFill="1" applyAlignment="1" applyProtection="1">
      <alignment horizontal="center" vertical="center" wrapText="1"/>
      <protection hidden="1"/>
    </xf>
    <xf numFmtId="0" fontId="69" fillId="0" borderId="167" xfId="0" applyFont="1" applyFill="1" applyBorder="1" applyAlignment="1" applyProtection="1">
      <alignment vertical="center" wrapText="1"/>
      <protection locked="0"/>
    </xf>
    <xf numFmtId="0" fontId="69" fillId="0" borderId="24" xfId="0" applyFont="1" applyFill="1" applyBorder="1" applyAlignment="1" applyProtection="1">
      <alignment vertical="center" wrapText="1"/>
      <protection locked="0"/>
    </xf>
    <xf numFmtId="0" fontId="69" fillId="0" borderId="14" xfId="0" applyFont="1" applyFill="1" applyBorder="1" applyAlignment="1" applyProtection="1">
      <alignment vertical="center" wrapText="1"/>
      <protection locked="0"/>
    </xf>
    <xf numFmtId="41" fontId="14" fillId="0" borderId="13" xfId="19" applyFont="1" applyBorder="1" applyAlignment="1" applyProtection="1">
      <alignment horizontal="left"/>
      <protection hidden="1"/>
    </xf>
    <xf numFmtId="0" fontId="19" fillId="20" borderId="31" xfId="0" applyFont="1" applyFill="1" applyBorder="1" applyAlignment="1" applyProtection="1">
      <alignment horizontal="center"/>
      <protection hidden="1"/>
    </xf>
    <xf numFmtId="0" fontId="19" fillId="20" borderId="33" xfId="0" applyFont="1" applyFill="1" applyBorder="1" applyAlignment="1" applyProtection="1">
      <alignment horizontal="center"/>
      <protection hidden="1"/>
    </xf>
    <xf numFmtId="182" fontId="11" fillId="0" borderId="0" xfId="17" applyNumberFormat="1" applyFont="1" applyAlignment="1" applyProtection="1">
      <alignment horizontal="center"/>
      <protection hidden="1"/>
    </xf>
    <xf numFmtId="182" fontId="14" fillId="0" borderId="33" xfId="17" applyNumberFormat="1" applyFont="1" applyBorder="1" applyAlignment="1" applyProtection="1">
      <alignment vertical="center"/>
      <protection hidden="1"/>
    </xf>
    <xf numFmtId="0" fontId="11" fillId="0" borderId="165" xfId="0" applyFont="1" applyBorder="1" applyAlignment="1" applyProtection="1">
      <alignment horizontal="center" vertical="center" wrapText="1"/>
      <protection hidden="1"/>
    </xf>
    <xf numFmtId="0" fontId="11" fillId="0" borderId="169" xfId="0" applyFont="1" applyBorder="1" applyAlignment="1" applyProtection="1">
      <alignment horizontal="center" vertical="center" wrapText="1"/>
      <protection hidden="1"/>
    </xf>
    <xf numFmtId="0" fontId="11" fillId="0" borderId="168" xfId="0" applyFont="1" applyBorder="1" applyAlignment="1" applyProtection="1">
      <alignment horizontal="center" vertical="center" wrapText="1"/>
      <protection hidden="1"/>
    </xf>
    <xf numFmtId="0" fontId="11" fillId="0" borderId="31" xfId="0" applyFont="1" applyBorder="1" applyAlignment="1" applyProtection="1">
      <alignment horizontal="center" vertical="center" wrapText="1"/>
      <protection hidden="1"/>
    </xf>
    <xf numFmtId="0" fontId="11" fillId="0" borderId="33" xfId="0" applyFont="1" applyBorder="1" applyAlignment="1" applyProtection="1">
      <alignment horizontal="center" vertical="center" wrapText="1"/>
      <protection hidden="1"/>
    </xf>
    <xf numFmtId="0" fontId="11" fillId="0" borderId="35" xfId="0" applyFont="1" applyBorder="1" applyAlignment="1" applyProtection="1">
      <alignment horizontal="center" vertical="center" wrapText="1"/>
      <protection hidden="1"/>
    </xf>
    <xf numFmtId="182" fontId="14" fillId="0" borderId="13" xfId="17" applyNumberFormat="1" applyFont="1" applyBorder="1" applyAlignment="1" applyProtection="1">
      <alignment horizontal="left"/>
      <protection hidden="1"/>
    </xf>
    <xf numFmtId="0" fontId="69" fillId="0" borderId="167" xfId="0" applyFont="1" applyBorder="1" applyAlignment="1" applyProtection="1">
      <alignment horizontal="center" vertical="center" wrapText="1"/>
      <protection locked="0"/>
    </xf>
    <xf numFmtId="0" fontId="69" fillId="0" borderId="24"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19" fillId="0" borderId="178" xfId="0" applyFont="1" applyBorder="1" applyAlignment="1" applyProtection="1">
      <alignment horizontal="center" vertical="center"/>
      <protection hidden="1"/>
    </xf>
    <xf numFmtId="0" fontId="10" fillId="20" borderId="4" xfId="0" applyFont="1" applyFill="1" applyBorder="1" applyAlignment="1" applyProtection="1">
      <alignment horizontal="center" vertical="center"/>
      <protection hidden="1"/>
    </xf>
    <xf numFmtId="0" fontId="10" fillId="0" borderId="4" xfId="0" applyFont="1" applyBorder="1" applyAlignment="1" applyProtection="1">
      <alignment horizontal="justify" vertical="center"/>
      <protection hidden="1"/>
    </xf>
    <xf numFmtId="0" fontId="25" fillId="0" borderId="165" xfId="0" applyFont="1" applyBorder="1" applyAlignment="1" applyProtection="1">
      <alignment horizontal="left" vertical="center" wrapText="1"/>
      <protection locked="0"/>
    </xf>
    <xf numFmtId="0" fontId="25" fillId="0" borderId="168" xfId="0" applyFont="1" applyBorder="1" applyAlignment="1" applyProtection="1">
      <alignment horizontal="left" vertical="center" wrapText="1"/>
      <protection locked="0"/>
    </xf>
    <xf numFmtId="0" fontId="25" fillId="0" borderId="9" xfId="0" applyFont="1" applyBorder="1" applyAlignment="1" applyProtection="1">
      <alignment horizontal="left" vertical="center" wrapText="1"/>
      <protection locked="0"/>
    </xf>
    <xf numFmtId="0" fontId="25" fillId="0" borderId="13" xfId="0" applyFont="1" applyBorder="1" applyAlignment="1" applyProtection="1">
      <alignment horizontal="left" vertical="center" wrapText="1"/>
      <protection locked="0"/>
    </xf>
    <xf numFmtId="0" fontId="25" fillId="0" borderId="21" xfId="0" applyFont="1" applyBorder="1" applyAlignment="1" applyProtection="1">
      <alignment horizontal="left" vertical="center" wrapText="1"/>
      <protection locked="0"/>
    </xf>
    <xf numFmtId="0" fontId="28" fillId="20" borderId="4" xfId="0" applyFont="1" applyFill="1" applyBorder="1" applyAlignment="1" applyProtection="1">
      <alignment horizontal="left" vertical="top" wrapText="1"/>
      <protection hidden="1"/>
    </xf>
    <xf numFmtId="0" fontId="25" fillId="0" borderId="165" xfId="0" applyFont="1" applyBorder="1" applyAlignment="1" applyProtection="1">
      <alignment horizontal="left" vertical="top" wrapText="1"/>
      <protection locked="0"/>
    </xf>
    <xf numFmtId="0" fontId="25" fillId="0" borderId="169" xfId="0" applyFont="1" applyBorder="1" applyAlignment="1" applyProtection="1">
      <alignment horizontal="left" vertical="top" wrapText="1"/>
      <protection locked="0"/>
    </xf>
    <xf numFmtId="0" fontId="25" fillId="0" borderId="168" xfId="0" applyFont="1" applyBorder="1" applyAlignment="1" applyProtection="1">
      <alignment horizontal="left" vertical="top" wrapText="1"/>
      <protection locked="0"/>
    </xf>
    <xf numFmtId="0" fontId="25" fillId="0" borderId="45" xfId="0" applyFont="1" applyBorder="1" applyAlignment="1" applyProtection="1">
      <alignment horizontal="left" vertical="top" wrapText="1"/>
      <protection locked="0"/>
    </xf>
    <xf numFmtId="0" fontId="25" fillId="0" borderId="0" xfId="0" applyFont="1" applyBorder="1" applyAlignment="1" applyProtection="1">
      <alignment horizontal="left" vertical="top" wrapText="1"/>
      <protection locked="0"/>
    </xf>
    <xf numFmtId="0" fontId="25" fillId="0" borderId="46" xfId="0" applyFont="1" applyBorder="1" applyAlignment="1" applyProtection="1">
      <alignment horizontal="left" vertical="top" wrapText="1"/>
      <protection locked="0"/>
    </xf>
    <xf numFmtId="0" fontId="25" fillId="0" borderId="31" xfId="0" applyFont="1" applyBorder="1" applyAlignment="1" applyProtection="1">
      <alignment horizontal="left" vertical="top" wrapText="1"/>
      <protection locked="0"/>
    </xf>
    <xf numFmtId="0" fontId="25" fillId="0" borderId="178" xfId="0" applyFont="1" applyBorder="1" applyAlignment="1" applyProtection="1">
      <alignment horizontal="left" vertical="top" wrapText="1"/>
      <protection locked="0"/>
    </xf>
    <xf numFmtId="0" fontId="25" fillId="0" borderId="174" xfId="0" applyFont="1" applyBorder="1" applyAlignment="1" applyProtection="1">
      <alignment horizontal="left" vertical="top" wrapText="1"/>
      <protection locked="0"/>
    </xf>
    <xf numFmtId="0" fontId="35" fillId="0" borderId="45"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5" fillId="0" borderId="46" xfId="0" applyFont="1" applyBorder="1" applyAlignment="1" applyProtection="1">
      <alignment horizontal="center" vertical="center"/>
      <protection hidden="1"/>
    </xf>
    <xf numFmtId="0" fontId="35" fillId="29" borderId="4" xfId="0" applyFont="1" applyFill="1" applyBorder="1" applyAlignment="1">
      <alignment horizontal="center" vertical="center" wrapText="1"/>
    </xf>
    <xf numFmtId="0" fontId="35" fillId="29" borderId="4" xfId="0" applyFont="1" applyFill="1" applyBorder="1" applyAlignment="1" applyProtection="1">
      <alignment horizontal="center" vertical="center"/>
      <protection hidden="1"/>
    </xf>
    <xf numFmtId="0" fontId="35" fillId="0" borderId="4" xfId="0" applyFont="1" applyBorder="1" applyAlignment="1" applyProtection="1">
      <alignment horizontal="center" vertical="center"/>
      <protection hidden="1"/>
    </xf>
    <xf numFmtId="9" fontId="35" fillId="0" borderId="4" xfId="0" applyNumberFormat="1" applyFont="1" applyBorder="1" applyAlignment="1" applyProtection="1">
      <alignment horizontal="center" vertical="center"/>
      <protection hidden="1"/>
    </xf>
    <xf numFmtId="175" fontId="47" fillId="13" borderId="4" xfId="0" applyNumberFormat="1" applyFont="1" applyFill="1" applyBorder="1" applyAlignment="1" applyProtection="1">
      <alignment horizontal="justify" vertical="center"/>
      <protection hidden="1"/>
    </xf>
    <xf numFmtId="0" fontId="2" fillId="13" borderId="4" xfId="0" applyFont="1" applyFill="1" applyBorder="1" applyAlignment="1" applyProtection="1">
      <alignment horizontal="justify" vertical="center" wrapText="1"/>
      <protection hidden="1"/>
    </xf>
    <xf numFmtId="0" fontId="10" fillId="0" borderId="4" xfId="0"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0" fontId="10" fillId="0" borderId="13" xfId="0" applyFont="1" applyBorder="1" applyAlignment="1" applyProtection="1">
      <alignment horizontal="center" vertical="center"/>
      <protection hidden="1"/>
    </xf>
    <xf numFmtId="0" fontId="10" fillId="0" borderId="21" xfId="0" applyFont="1" applyBorder="1" applyAlignment="1" applyProtection="1">
      <alignment horizontal="center" vertical="center"/>
      <protection hidden="1"/>
    </xf>
    <xf numFmtId="0" fontId="28" fillId="20" borderId="33" xfId="0" applyFont="1" applyFill="1" applyBorder="1" applyAlignment="1" applyProtection="1">
      <alignment horizontal="center" vertical="center" wrapText="1"/>
      <protection hidden="1"/>
    </xf>
    <xf numFmtId="0" fontId="1" fillId="13" borderId="9" xfId="0" applyFont="1" applyFill="1" applyBorder="1" applyAlignment="1" applyProtection="1">
      <alignment horizontal="center" vertical="center" wrapText="1"/>
      <protection hidden="1"/>
    </xf>
    <xf numFmtId="0" fontId="2" fillId="13" borderId="13" xfId="0" applyFont="1" applyFill="1" applyBorder="1" applyAlignment="1" applyProtection="1">
      <alignment horizontal="center" vertical="center" wrapText="1"/>
      <protection hidden="1"/>
    </xf>
    <xf numFmtId="0" fontId="2" fillId="13" borderId="21" xfId="0" applyFont="1" applyFill="1" applyBorder="1" applyAlignment="1" applyProtection="1">
      <alignment horizontal="center" vertical="center" wrapText="1"/>
      <protection hidden="1"/>
    </xf>
    <xf numFmtId="0" fontId="35" fillId="0" borderId="45" xfId="0" applyFont="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35" fillId="0" borderId="46" xfId="0" applyFont="1" applyBorder="1" applyAlignment="1" applyProtection="1">
      <alignment horizontal="center" vertical="center" wrapText="1"/>
      <protection hidden="1"/>
    </xf>
    <xf numFmtId="0" fontId="35" fillId="29" borderId="4" xfId="0" applyFont="1" applyFill="1" applyBorder="1" applyAlignment="1" applyProtection="1">
      <alignment horizontal="center" vertical="center" wrapText="1"/>
      <protection hidden="1"/>
    </xf>
    <xf numFmtId="0" fontId="19" fillId="0" borderId="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9" fillId="0" borderId="4" xfId="0" applyFont="1" applyBorder="1" applyAlignment="1" applyProtection="1">
      <alignment horizontal="justify" vertical="center" wrapText="1"/>
      <protection hidden="1"/>
    </xf>
    <xf numFmtId="0" fontId="2" fillId="0" borderId="4" xfId="0" applyFont="1" applyBorder="1" applyAlignment="1" applyProtection="1">
      <alignment horizontal="justify" vertical="center"/>
      <protection hidden="1"/>
    </xf>
    <xf numFmtId="0" fontId="19" fillId="13" borderId="4" xfId="0" applyFont="1" applyFill="1" applyBorder="1" applyAlignment="1" applyProtection="1">
      <alignment horizontal="justify" vertical="center"/>
      <protection hidden="1"/>
    </xf>
    <xf numFmtId="0" fontId="35" fillId="0" borderId="14" xfId="0" applyFont="1" applyBorder="1" applyAlignment="1" applyProtection="1">
      <alignment horizontal="center" vertical="center" wrapText="1"/>
      <protection hidden="1"/>
    </xf>
    <xf numFmtId="0" fontId="28" fillId="20" borderId="9" xfId="0" applyFont="1" applyFill="1" applyBorder="1" applyAlignment="1" applyProtection="1">
      <alignment horizontal="left" vertical="top" wrapText="1"/>
      <protection hidden="1"/>
    </xf>
    <xf numFmtId="0" fontId="28" fillId="20" borderId="13" xfId="0" applyFont="1" applyFill="1" applyBorder="1" applyAlignment="1" applyProtection="1">
      <alignment horizontal="left" vertical="top" wrapText="1"/>
      <protection hidden="1"/>
    </xf>
    <xf numFmtId="0" fontId="28" fillId="20" borderId="21" xfId="0" applyFont="1" applyFill="1" applyBorder="1" applyAlignment="1" applyProtection="1">
      <alignment horizontal="left" vertical="top" wrapText="1"/>
      <protection hidden="1"/>
    </xf>
    <xf numFmtId="0" fontId="14" fillId="0" borderId="4" xfId="0" applyFont="1" applyBorder="1" applyAlignment="1" applyProtection="1">
      <alignment horizontal="center"/>
      <protection hidden="1"/>
    </xf>
    <xf numFmtId="0" fontId="10" fillId="0" borderId="14" xfId="0" applyFont="1" applyBorder="1" applyAlignment="1" applyProtection="1">
      <alignment horizontal="center" vertical="center"/>
      <protection hidden="1"/>
    </xf>
    <xf numFmtId="0" fontId="27" fillId="0" borderId="4" xfId="0" applyFont="1" applyBorder="1" applyAlignment="1" applyProtection="1">
      <alignment horizontal="left" vertical="center"/>
      <protection hidden="1"/>
    </xf>
    <xf numFmtId="41" fontId="9" fillId="0" borderId="4" xfId="0" applyNumberFormat="1" applyFont="1" applyBorder="1" applyAlignment="1" applyProtection="1">
      <alignment horizontal="left" vertical="center" wrapText="1"/>
      <protection hidden="1"/>
    </xf>
    <xf numFmtId="0" fontId="9" fillId="0" borderId="4" xfId="0" applyFont="1" applyBorder="1" applyAlignment="1" applyProtection="1">
      <alignment horizontal="left" vertical="center" wrapText="1"/>
      <protection hidden="1"/>
    </xf>
    <xf numFmtId="0" fontId="13" fillId="0" borderId="4" xfId="0" applyFont="1" applyBorder="1" applyAlignment="1" applyProtection="1">
      <alignment horizontal="center" vertical="center"/>
      <protection hidden="1"/>
    </xf>
    <xf numFmtId="0" fontId="10" fillId="0" borderId="165" xfId="0" applyFont="1" applyBorder="1" applyAlignment="1" applyProtection="1">
      <alignment horizontal="center" vertical="center" wrapText="1"/>
      <protection hidden="1"/>
    </xf>
    <xf numFmtId="0" fontId="10" fillId="0" borderId="169" xfId="0" applyFont="1" applyBorder="1" applyAlignment="1" applyProtection="1">
      <alignment horizontal="center" vertical="center"/>
      <protection hidden="1"/>
    </xf>
    <xf numFmtId="0" fontId="10" fillId="0" borderId="168" xfId="0" applyFont="1" applyBorder="1" applyAlignment="1" applyProtection="1">
      <alignment horizontal="center" vertical="center"/>
      <protection hidden="1"/>
    </xf>
    <xf numFmtId="0" fontId="10" fillId="0" borderId="31" xfId="0" applyFont="1" applyBorder="1" applyAlignment="1" applyProtection="1">
      <alignment horizontal="center" vertical="center"/>
      <protection hidden="1"/>
    </xf>
    <xf numFmtId="0" fontId="10" fillId="0" borderId="33" xfId="0" applyFont="1" applyBorder="1" applyAlignment="1" applyProtection="1">
      <alignment horizontal="center" vertical="center"/>
      <protection hidden="1"/>
    </xf>
    <xf numFmtId="0" fontId="10" fillId="0" borderId="35" xfId="0" applyFont="1" applyBorder="1" applyAlignment="1" applyProtection="1">
      <alignment horizontal="center" vertical="center"/>
      <protection hidden="1"/>
    </xf>
    <xf numFmtId="0" fontId="19" fillId="0" borderId="4" xfId="0" applyFont="1" applyBorder="1" applyAlignment="1" applyProtection="1">
      <alignment horizontal="center" vertical="center"/>
      <protection hidden="1"/>
    </xf>
    <xf numFmtId="0" fontId="9" fillId="0" borderId="4" xfId="0" applyFont="1" applyBorder="1" applyAlignment="1" applyProtection="1">
      <alignment horizontal="left" vertical="center"/>
      <protection hidden="1"/>
    </xf>
    <xf numFmtId="0" fontId="25" fillId="0" borderId="4" xfId="0" applyFont="1" applyBorder="1" applyAlignment="1">
      <alignment horizontal="center" vertical="center"/>
    </xf>
    <xf numFmtId="0" fontId="2" fillId="0" borderId="4" xfId="0" applyFont="1" applyBorder="1" applyAlignment="1" applyProtection="1">
      <alignment horizontal="justify" vertical="center" wrapText="1"/>
      <protection hidden="1"/>
    </xf>
    <xf numFmtId="0" fontId="19" fillId="44" borderId="4" xfId="0" applyFont="1" applyFill="1" applyBorder="1" applyAlignment="1" applyProtection="1">
      <alignment horizontal="center" vertical="center"/>
      <protection hidden="1"/>
    </xf>
    <xf numFmtId="175" fontId="47" fillId="0" borderId="4" xfId="0" applyNumberFormat="1" applyFont="1" applyBorder="1" applyAlignment="1" applyProtection="1">
      <alignment horizontal="justify" vertical="center"/>
      <protection hidden="1"/>
    </xf>
    <xf numFmtId="0" fontId="28" fillId="20" borderId="9" xfId="0" applyFont="1" applyFill="1" applyBorder="1" applyAlignment="1" applyProtection="1">
      <alignment horizontal="center" vertical="center"/>
      <protection hidden="1"/>
    </xf>
    <xf numFmtId="0" fontId="28" fillId="20" borderId="13" xfId="0" applyFont="1" applyFill="1" applyBorder="1" applyAlignment="1" applyProtection="1">
      <alignment horizontal="center" vertical="center"/>
      <protection hidden="1"/>
    </xf>
    <xf numFmtId="0" fontId="28" fillId="20" borderId="21" xfId="0" applyFont="1" applyFill="1" applyBorder="1" applyAlignment="1" applyProtection="1">
      <alignment horizontal="center" vertical="center"/>
      <protection hidden="1"/>
    </xf>
    <xf numFmtId="0" fontId="35" fillId="44" borderId="9" xfId="0" applyFont="1" applyFill="1" applyBorder="1" applyAlignment="1" applyProtection="1">
      <alignment horizontal="center" vertical="center"/>
      <protection hidden="1"/>
    </xf>
    <xf numFmtId="0" fontId="35" fillId="44" borderId="21" xfId="0" applyFont="1" applyFill="1" applyBorder="1" applyAlignment="1" applyProtection="1">
      <alignment horizontal="center" vertical="center"/>
      <protection hidden="1"/>
    </xf>
    <xf numFmtId="0" fontId="19" fillId="0" borderId="4" xfId="0" applyFont="1" applyBorder="1" applyAlignment="1" applyProtection="1">
      <alignment horizontal="justify" vertical="center"/>
      <protection hidden="1"/>
    </xf>
    <xf numFmtId="0" fontId="35" fillId="0" borderId="14"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0" fontId="1" fillId="0" borderId="4" xfId="0" applyFont="1" applyBorder="1" applyAlignment="1" applyProtection="1">
      <alignment horizontal="justify" vertical="center" wrapText="1"/>
      <protection hidden="1"/>
    </xf>
    <xf numFmtId="0" fontId="21" fillId="0" borderId="4" xfId="0" applyFont="1" applyBorder="1" applyAlignment="1">
      <alignment horizontal="justify" vertical="center" wrapText="1"/>
    </xf>
    <xf numFmtId="0" fontId="14" fillId="0" borderId="4" xfId="0" applyFont="1" applyBorder="1" applyAlignment="1" applyProtection="1">
      <alignment horizontal="center" vertical="center" wrapText="1"/>
      <protection hidden="1"/>
    </xf>
    <xf numFmtId="0" fontId="9" fillId="0" borderId="4" xfId="0" applyFont="1" applyBorder="1" applyAlignment="1" applyProtection="1">
      <alignment horizontal="left" wrapText="1"/>
      <protection hidden="1"/>
    </xf>
    <xf numFmtId="0" fontId="117" fillId="56" borderId="116" xfId="16" applyFont="1" applyFill="1" applyBorder="1" applyAlignment="1" applyProtection="1">
      <alignment horizontal="center" vertical="center" wrapText="1"/>
    </xf>
    <xf numFmtId="0" fontId="117" fillId="56" borderId="117" xfId="16" applyFont="1" applyFill="1" applyBorder="1" applyAlignment="1" applyProtection="1">
      <alignment horizontal="center" vertical="center" wrapText="1"/>
    </xf>
    <xf numFmtId="0" fontId="110" fillId="0" borderId="95" xfId="0" applyFont="1" applyBorder="1" applyAlignment="1" applyProtection="1">
      <alignment horizontal="left" wrapText="1"/>
      <protection locked="0"/>
    </xf>
    <xf numFmtId="0" fontId="14" fillId="53" borderId="4" xfId="5" applyFont="1" applyFill="1" applyBorder="1" applyAlignment="1" applyProtection="1">
      <alignment horizontal="justify" vertical="center" wrapText="1"/>
      <protection hidden="1"/>
    </xf>
    <xf numFmtId="0" fontId="111" fillId="54" borderId="97" xfId="5" applyFont="1" applyFill="1" applyBorder="1" applyAlignment="1" applyProtection="1">
      <alignment horizontal="center" vertical="center" wrapText="1"/>
      <protection hidden="1"/>
    </xf>
    <xf numFmtId="0" fontId="111" fillId="54" borderId="98" xfId="5" applyFont="1" applyFill="1" applyBorder="1" applyAlignment="1" applyProtection="1">
      <alignment horizontal="center" vertical="center" wrapText="1"/>
      <protection hidden="1"/>
    </xf>
    <xf numFmtId="0" fontId="111" fillId="54" borderId="100" xfId="5" applyFont="1" applyFill="1" applyBorder="1" applyAlignment="1" applyProtection="1">
      <alignment horizontal="center" vertical="center" wrapText="1"/>
      <protection hidden="1"/>
    </xf>
    <xf numFmtId="0" fontId="111" fillId="54" borderId="5" xfId="5" applyFont="1" applyFill="1" applyBorder="1" applyAlignment="1" applyProtection="1">
      <alignment horizontal="center" vertical="center" wrapText="1"/>
      <protection hidden="1"/>
    </xf>
    <xf numFmtId="0" fontId="13" fillId="53" borderId="4" xfId="5" applyFont="1" applyFill="1" applyBorder="1" applyAlignment="1">
      <alignment horizontal="justify" vertical="center" wrapText="1"/>
    </xf>
    <xf numFmtId="0" fontId="111" fillId="54" borderId="9" xfId="5" applyFont="1" applyFill="1" applyBorder="1" applyAlignment="1">
      <alignment horizontal="center" vertical="center" wrapText="1"/>
    </xf>
    <xf numFmtId="0" fontId="111" fillId="54" borderId="13" xfId="5" applyFont="1" applyFill="1" applyBorder="1" applyAlignment="1">
      <alignment horizontal="center" vertical="center" wrapText="1"/>
    </xf>
    <xf numFmtId="0" fontId="111" fillId="54" borderId="21" xfId="5" applyFont="1" applyFill="1" applyBorder="1" applyAlignment="1">
      <alignment horizontal="center" vertical="center" wrapText="1"/>
    </xf>
    <xf numFmtId="0" fontId="113" fillId="55" borderId="102" xfId="16" applyFont="1" applyFill="1" applyBorder="1" applyAlignment="1" applyProtection="1">
      <alignment horizontal="center" vertical="center" wrapText="1"/>
    </xf>
    <xf numFmtId="0" fontId="113" fillId="55" borderId="0" xfId="16" applyFont="1" applyFill="1" applyAlignment="1" applyProtection="1">
      <alignment horizontal="center" vertical="center" wrapText="1"/>
    </xf>
    <xf numFmtId="0" fontId="113" fillId="55" borderId="26" xfId="16" applyFont="1" applyFill="1" applyBorder="1" applyAlignment="1" applyProtection="1">
      <alignment horizontal="center" vertical="center" wrapText="1"/>
    </xf>
    <xf numFmtId="0" fontId="11" fillId="55" borderId="111" xfId="5" applyFont="1" applyFill="1" applyBorder="1" applyAlignment="1">
      <alignment horizontal="right" vertical="center" wrapText="1"/>
    </xf>
    <xf numFmtId="0" fontId="11" fillId="55" borderId="73" xfId="5" applyFont="1" applyFill="1" applyBorder="1" applyAlignment="1">
      <alignment horizontal="right" vertical="center" wrapText="1"/>
    </xf>
    <xf numFmtId="0" fontId="11" fillId="55" borderId="0" xfId="5" applyFont="1" applyFill="1" applyAlignment="1">
      <alignment horizontal="right" vertical="center" wrapText="1"/>
    </xf>
    <xf numFmtId="0" fontId="10" fillId="55" borderId="112" xfId="5" applyFont="1" applyFill="1" applyBorder="1" applyAlignment="1">
      <alignment horizontal="center" vertical="center" wrapText="1"/>
    </xf>
    <xf numFmtId="0" fontId="10" fillId="55" borderId="71" xfId="5" applyFont="1" applyFill="1" applyBorder="1" applyAlignment="1">
      <alignment horizontal="center" vertical="center" wrapText="1"/>
    </xf>
    <xf numFmtId="0" fontId="10" fillId="55" borderId="56" xfId="5" applyFont="1" applyFill="1" applyBorder="1" applyAlignment="1">
      <alignment horizontal="center" vertical="center" wrapText="1"/>
    </xf>
    <xf numFmtId="0" fontId="10" fillId="55" borderId="113" xfId="5" applyFont="1" applyFill="1" applyBorder="1" applyAlignment="1">
      <alignment horizontal="center" vertical="center" wrapText="1"/>
    </xf>
    <xf numFmtId="0" fontId="10" fillId="55" borderId="76" xfId="5" applyFont="1" applyFill="1" applyBorder="1" applyAlignment="1">
      <alignment horizontal="center" vertical="center" wrapText="1"/>
    </xf>
    <xf numFmtId="0" fontId="117" fillId="56" borderId="115" xfId="16" applyFont="1" applyFill="1" applyBorder="1" applyAlignment="1" applyProtection="1">
      <alignment horizontal="center" vertical="center" wrapText="1"/>
    </xf>
    <xf numFmtId="0" fontId="117" fillId="56" borderId="82" xfId="16" applyFont="1" applyFill="1" applyBorder="1" applyAlignment="1" applyProtection="1">
      <alignment horizontal="center" vertical="center" wrapText="1"/>
    </xf>
    <xf numFmtId="0" fontId="43" fillId="57" borderId="9" xfId="16" applyFont="1" applyFill="1" applyBorder="1" applyAlignment="1" applyProtection="1">
      <alignment horizontal="center" vertical="center" wrapText="1"/>
    </xf>
    <xf numFmtId="0" fontId="43" fillId="57" borderId="13" xfId="16" applyFont="1" applyFill="1" applyBorder="1" applyAlignment="1" applyProtection="1">
      <alignment horizontal="center" vertical="center" wrapText="1"/>
    </xf>
    <xf numFmtId="0" fontId="73" fillId="44" borderId="14" xfId="0" applyFont="1" applyFill="1" applyBorder="1" applyAlignment="1" applyProtection="1">
      <alignment horizontal="center" vertical="center" wrapText="1"/>
      <protection hidden="1"/>
    </xf>
    <xf numFmtId="0" fontId="128" fillId="0" borderId="9" xfId="0" applyFont="1" applyBorder="1" applyAlignment="1" applyProtection="1">
      <alignment horizontal="justify" vertical="center" wrapText="1"/>
      <protection hidden="1"/>
    </xf>
    <xf numFmtId="0" fontId="128" fillId="0" borderId="21" xfId="0" applyFont="1" applyBorder="1" applyAlignment="1" applyProtection="1">
      <alignment horizontal="justify" vertical="center" wrapText="1"/>
      <protection hidden="1"/>
    </xf>
    <xf numFmtId="0" fontId="21" fillId="0" borderId="4" xfId="0" applyFont="1" applyBorder="1" applyAlignment="1">
      <alignment horizontal="center" vertical="center" wrapText="1"/>
    </xf>
    <xf numFmtId="0" fontId="27" fillId="13" borderId="4" xfId="16" applyFont="1" applyFill="1" applyBorder="1" applyAlignment="1" applyProtection="1">
      <alignment horizontal="justify" vertical="center" wrapText="1"/>
    </xf>
    <xf numFmtId="0" fontId="43" fillId="57" borderId="9" xfId="16" applyFont="1" applyFill="1" applyBorder="1" applyAlignment="1" applyProtection="1">
      <alignment horizontal="justify" vertical="center" wrapText="1"/>
    </xf>
    <xf numFmtId="0" fontId="43" fillId="57" borderId="13" xfId="16" applyFont="1" applyFill="1" applyBorder="1" applyAlignment="1" applyProtection="1">
      <alignment horizontal="justify" vertical="center" wrapText="1"/>
    </xf>
    <xf numFmtId="0" fontId="43" fillId="57" borderId="21" xfId="16" applyFont="1" applyFill="1" applyBorder="1" applyAlignment="1" applyProtection="1">
      <alignment horizontal="justify" vertical="center" wrapText="1"/>
    </xf>
    <xf numFmtId="0" fontId="11" fillId="13" borderId="0" xfId="0" applyFont="1" applyFill="1" applyAlignment="1" applyProtection="1">
      <alignment horizontal="center" vertical="center" wrapText="1"/>
      <protection hidden="1"/>
    </xf>
    <xf numFmtId="0" fontId="11" fillId="13" borderId="26" xfId="0" applyFont="1" applyFill="1" applyBorder="1" applyAlignment="1" applyProtection="1">
      <alignment horizontal="center" vertical="center" wrapText="1"/>
      <protection hidden="1"/>
    </xf>
    <xf numFmtId="0" fontId="10" fillId="0" borderId="97" xfId="0" applyFont="1" applyBorder="1" applyAlignment="1">
      <alignment horizontal="justify" vertical="center" wrapText="1"/>
    </xf>
    <xf numFmtId="0" fontId="13" fillId="0" borderId="98" xfId="0" applyFont="1" applyBorder="1" applyAlignment="1">
      <alignment horizontal="justify" vertical="center" wrapText="1"/>
    </xf>
    <xf numFmtId="0" fontId="13" fillId="0" borderId="5" xfId="0" applyFont="1" applyBorder="1" applyAlignment="1">
      <alignment horizontal="justify" vertical="center" wrapText="1"/>
    </xf>
    <xf numFmtId="0" fontId="60" fillId="0" borderId="0" xfId="0" applyFont="1" applyAlignment="1">
      <alignment horizontal="center" vertical="center" wrapText="1"/>
    </xf>
    <xf numFmtId="0" fontId="13" fillId="0" borderId="4" xfId="0" applyFont="1" applyBorder="1" applyAlignment="1">
      <alignment horizontal="justify" vertical="center" wrapText="1"/>
    </xf>
    <xf numFmtId="0" fontId="137" fillId="38" borderId="19" xfId="21" applyFont="1" applyBorder="1" applyAlignment="1">
      <alignment horizontal="center" vertical="center" wrapText="1"/>
    </xf>
    <xf numFmtId="0" fontId="137" fillId="38" borderId="38" xfId="21" applyFont="1" applyBorder="1" applyAlignment="1">
      <alignment horizontal="center" vertical="center" wrapText="1"/>
    </xf>
    <xf numFmtId="0" fontId="43" fillId="58" borderId="9" xfId="0" applyFont="1" applyFill="1" applyBorder="1" applyAlignment="1" applyProtection="1">
      <alignment horizontal="justify" vertical="center" wrapText="1"/>
      <protection hidden="1"/>
    </xf>
    <xf numFmtId="0" fontId="43" fillId="58" borderId="13" xfId="0" applyFont="1" applyFill="1" applyBorder="1" applyAlignment="1" applyProtection="1">
      <alignment horizontal="justify" vertical="center" wrapText="1"/>
      <protection hidden="1"/>
    </xf>
    <xf numFmtId="0" fontId="43" fillId="58" borderId="21" xfId="0" applyFont="1" applyFill="1" applyBorder="1" applyAlignment="1" applyProtection="1">
      <alignment horizontal="justify" vertical="center" wrapText="1"/>
      <protection hidden="1"/>
    </xf>
    <xf numFmtId="0" fontId="29" fillId="57" borderId="97" xfId="21" applyFont="1" applyFill="1" applyBorder="1" applyAlignment="1">
      <alignment horizontal="center" vertical="center" wrapText="1"/>
    </xf>
    <xf numFmtId="0" fontId="29" fillId="57" borderId="98" xfId="21" applyFont="1" applyFill="1" applyBorder="1" applyAlignment="1">
      <alignment horizontal="center" vertical="center" wrapText="1"/>
    </xf>
    <xf numFmtId="0" fontId="29" fillId="57" borderId="5" xfId="21" applyFont="1" applyFill="1" applyBorder="1" applyAlignment="1">
      <alignment horizontal="center" vertical="center" wrapText="1"/>
    </xf>
    <xf numFmtId="0" fontId="73" fillId="0" borderId="99" xfId="0" applyFont="1" applyBorder="1" applyAlignment="1">
      <alignment horizontal="justify" vertical="center" wrapText="1"/>
    </xf>
    <xf numFmtId="0" fontId="132" fillId="0" borderId="100" xfId="0" applyFont="1" applyBorder="1" applyAlignment="1">
      <alignment horizontal="justify" vertical="center" wrapText="1"/>
    </xf>
    <xf numFmtId="0" fontId="132" fillId="0" borderId="101" xfId="0" applyFont="1" applyBorder="1" applyAlignment="1">
      <alignment horizontal="justify" vertical="center" wrapText="1"/>
    </xf>
    <xf numFmtId="0" fontId="111" fillId="38" borderId="103" xfId="21" applyFont="1" applyBorder="1" applyAlignment="1">
      <alignment horizontal="center" vertical="center" wrapText="1"/>
    </xf>
    <xf numFmtId="0" fontId="111" fillId="38" borderId="3" xfId="21" applyFont="1" applyBorder="1" applyAlignment="1">
      <alignment horizontal="center" vertical="center" wrapText="1"/>
    </xf>
    <xf numFmtId="0" fontId="13" fillId="0" borderId="99" xfId="0" applyFont="1" applyBorder="1" applyAlignment="1">
      <alignment horizontal="justify" vertical="center" wrapText="1"/>
    </xf>
    <xf numFmtId="0" fontId="13" fillId="0" borderId="100" xfId="0" applyFont="1" applyBorder="1" applyAlignment="1">
      <alignment horizontal="justify" vertical="center" wrapText="1"/>
    </xf>
    <xf numFmtId="0" fontId="13" fillId="0" borderId="101" xfId="0" applyFont="1" applyBorder="1" applyAlignment="1">
      <alignment horizontal="justify" vertical="center" wrapText="1"/>
    </xf>
    <xf numFmtId="0" fontId="73" fillId="0" borderId="4" xfId="0" applyFont="1" applyBorder="1" applyAlignment="1" applyProtection="1">
      <alignment horizontal="center" vertical="center" wrapText="1"/>
      <protection hidden="1"/>
    </xf>
    <xf numFmtId="0" fontId="25" fillId="0" borderId="4" xfId="0" applyFont="1" applyBorder="1" applyAlignment="1" applyProtection="1">
      <alignment horizontal="left" vertical="center" wrapText="1"/>
      <protection locked="0"/>
    </xf>
    <xf numFmtId="0" fontId="25" fillId="0" borderId="94" xfId="0" applyFont="1" applyBorder="1" applyAlignment="1" applyProtection="1">
      <alignment horizontal="justify" vertical="center" wrapText="1"/>
      <protection locked="0"/>
    </xf>
    <xf numFmtId="0" fontId="25" fillId="0" borderId="95" xfId="0" applyFont="1" applyBorder="1" applyAlignment="1" applyProtection="1">
      <alignment horizontal="justify" vertical="center" wrapText="1"/>
      <protection locked="0"/>
    </xf>
    <xf numFmtId="0" fontId="25" fillId="0" borderId="96" xfId="0" applyFont="1" applyBorder="1" applyAlignment="1" applyProtection="1">
      <alignment horizontal="justify" vertical="center" wrapText="1"/>
      <protection locked="0"/>
    </xf>
    <xf numFmtId="0" fontId="25" fillId="0" borderId="45" xfId="0" applyFont="1" applyBorder="1" applyAlignment="1" applyProtection="1">
      <alignment horizontal="justify" vertical="center" wrapText="1"/>
      <protection locked="0"/>
    </xf>
    <xf numFmtId="0" fontId="25" fillId="0" borderId="0" xfId="0" applyFont="1" applyAlignment="1" applyProtection="1">
      <alignment horizontal="justify" vertical="center" wrapText="1"/>
      <protection locked="0"/>
    </xf>
    <xf numFmtId="0" fontId="25" fillId="0" borderId="46" xfId="0" applyFont="1" applyBorder="1" applyAlignment="1" applyProtection="1">
      <alignment horizontal="justify" vertical="center" wrapText="1"/>
      <protection locked="0"/>
    </xf>
    <xf numFmtId="0" fontId="25" fillId="0" borderId="31" xfId="0" applyFont="1" applyBorder="1" applyAlignment="1" applyProtection="1">
      <alignment horizontal="justify" vertical="center" wrapText="1"/>
      <protection locked="0"/>
    </xf>
    <xf numFmtId="0" fontId="25" fillId="0" borderId="33" xfId="0" applyFont="1" applyBorder="1" applyAlignment="1" applyProtection="1">
      <alignment horizontal="justify" vertical="center" wrapText="1"/>
      <protection locked="0"/>
    </xf>
    <xf numFmtId="0" fontId="25" fillId="0" borderId="35" xfId="0" applyFont="1" applyBorder="1" applyAlignment="1" applyProtection="1">
      <alignment horizontal="justify" vertical="center" wrapText="1"/>
      <protection locked="0"/>
    </xf>
    <xf numFmtId="0" fontId="25" fillId="0" borderId="94" xfId="0" applyFont="1" applyBorder="1" applyAlignment="1" applyProtection="1">
      <alignment horizontal="left" vertical="center" wrapText="1"/>
      <protection locked="0"/>
    </xf>
    <xf numFmtId="0" fontId="25" fillId="0" borderId="95" xfId="0" applyFont="1" applyBorder="1" applyAlignment="1" applyProtection="1">
      <alignment horizontal="left" vertical="center" wrapText="1"/>
      <protection locked="0"/>
    </xf>
    <xf numFmtId="0" fontId="25" fillId="0" borderId="96" xfId="0" applyFont="1" applyBorder="1" applyAlignment="1" applyProtection="1">
      <alignment horizontal="left" vertical="center" wrapText="1"/>
      <protection locked="0"/>
    </xf>
    <xf numFmtId="0" fontId="25" fillId="0" borderId="31" xfId="0" applyFont="1" applyBorder="1" applyAlignment="1" applyProtection="1">
      <alignment horizontal="left" vertical="center" wrapText="1"/>
      <protection locked="0"/>
    </xf>
    <xf numFmtId="0" fontId="25" fillId="0" borderId="33" xfId="0" applyFont="1" applyBorder="1" applyAlignment="1" applyProtection="1">
      <alignment horizontal="left" vertical="center" wrapText="1"/>
      <protection locked="0"/>
    </xf>
    <xf numFmtId="0" fontId="25" fillId="0" borderId="35" xfId="0" applyFont="1" applyBorder="1" applyAlignment="1" applyProtection="1">
      <alignment horizontal="left" vertical="center" wrapText="1"/>
      <protection locked="0"/>
    </xf>
    <xf numFmtId="0" fontId="25" fillId="0" borderId="94" xfId="0" applyFont="1" applyBorder="1" applyAlignment="1" applyProtection="1">
      <alignment horizontal="center" vertical="center" wrapText="1"/>
      <protection locked="0"/>
    </xf>
    <xf numFmtId="0" fontId="25" fillId="0" borderId="95" xfId="0" applyFont="1" applyBorder="1" applyAlignment="1" applyProtection="1">
      <alignment horizontal="center" vertical="center" wrapText="1"/>
      <protection locked="0"/>
    </xf>
    <xf numFmtId="0" fontId="25" fillId="0" borderId="96" xfId="0" applyFont="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0" borderId="33" xfId="0" applyFont="1" applyBorder="1" applyAlignment="1" applyProtection="1">
      <alignment horizontal="center" vertical="center" wrapText="1"/>
      <protection locked="0"/>
    </xf>
    <xf numFmtId="0" fontId="25" fillId="0" borderId="35" xfId="0" applyFont="1" applyBorder="1" applyAlignment="1" applyProtection="1">
      <alignment horizontal="center" vertical="center" wrapText="1"/>
      <protection locked="0"/>
    </xf>
    <xf numFmtId="0" fontId="20" fillId="0" borderId="4" xfId="0" applyFont="1" applyBorder="1" applyAlignment="1">
      <alignment horizontal="justify" vertical="center" wrapText="1"/>
    </xf>
    <xf numFmtId="0" fontId="133" fillId="57" borderId="121" xfId="21" applyFont="1" applyFill="1" applyBorder="1" applyAlignment="1">
      <alignment horizontal="center" vertical="center" wrapText="1"/>
    </xf>
    <xf numFmtId="0" fontId="133" fillId="57" borderId="122" xfId="21" applyFont="1" applyFill="1" applyBorder="1" applyAlignment="1">
      <alignment horizontal="center" vertical="center" wrapText="1"/>
    </xf>
    <xf numFmtId="0" fontId="133" fillId="57" borderId="123" xfId="21" applyFont="1" applyFill="1" applyBorder="1" applyAlignment="1">
      <alignment horizontal="center" vertical="center" wrapText="1"/>
    </xf>
    <xf numFmtId="0" fontId="14" fillId="0" borderId="13" xfId="0" applyFont="1" applyBorder="1" applyAlignment="1" applyProtection="1">
      <alignment horizontal="left" vertical="center"/>
      <protection hidden="1"/>
    </xf>
    <xf numFmtId="14" fontId="14" fillId="0" borderId="13" xfId="0" applyNumberFormat="1" applyFont="1" applyBorder="1" applyAlignment="1" applyProtection="1">
      <alignment horizontal="left" vertical="center"/>
      <protection hidden="1"/>
    </xf>
    <xf numFmtId="0" fontId="11" fillId="13" borderId="0" xfId="5" applyFont="1" applyFill="1" applyAlignment="1">
      <alignment horizontal="center" vertical="center" wrapText="1"/>
    </xf>
    <xf numFmtId="0" fontId="11" fillId="54" borderId="4" xfId="5" applyFont="1" applyFill="1" applyBorder="1" applyAlignment="1">
      <alignment horizontal="center" vertical="center" wrapText="1"/>
    </xf>
    <xf numFmtId="0" fontId="10" fillId="0" borderId="0" xfId="0" applyFont="1" applyAlignment="1" applyProtection="1">
      <alignment horizontal="center" vertical="center"/>
      <protection hidden="1"/>
    </xf>
    <xf numFmtId="0" fontId="14" fillId="0" borderId="4" xfId="0" applyFont="1" applyBorder="1" applyAlignment="1" applyProtection="1">
      <alignment horizontal="center" vertical="center"/>
      <protection hidden="1"/>
    </xf>
    <xf numFmtId="41" fontId="20" fillId="0" borderId="33" xfId="0" applyNumberFormat="1" applyFont="1" applyBorder="1" applyAlignment="1" applyProtection="1">
      <alignment horizontal="left" vertical="center" wrapText="1"/>
      <protection hidden="1"/>
    </xf>
    <xf numFmtId="0" fontId="20" fillId="0" borderId="33" xfId="0" applyFont="1" applyBorder="1" applyAlignment="1" applyProtection="1">
      <alignment horizontal="left" vertical="center" wrapText="1"/>
      <protection hidden="1"/>
    </xf>
    <xf numFmtId="0" fontId="19" fillId="0" borderId="165" xfId="0" applyFont="1" applyBorder="1" applyAlignment="1" applyProtection="1">
      <alignment horizontal="center" vertical="center" wrapText="1"/>
      <protection hidden="1"/>
    </xf>
    <xf numFmtId="0" fontId="19" fillId="0" borderId="169" xfId="0" applyFont="1" applyBorder="1" applyAlignment="1" applyProtection="1">
      <alignment horizontal="center" vertical="center" wrapText="1"/>
      <protection hidden="1"/>
    </xf>
    <xf numFmtId="0" fontId="19" fillId="0" borderId="168" xfId="0" applyFont="1" applyBorder="1" applyAlignment="1" applyProtection="1">
      <alignment horizontal="center" vertical="center" wrapText="1"/>
      <protection hidden="1"/>
    </xf>
    <xf numFmtId="0" fontId="19" fillId="0" borderId="31" xfId="0" applyFont="1" applyBorder="1" applyAlignment="1" applyProtection="1">
      <alignment horizontal="center" vertical="center" wrapText="1"/>
      <protection hidden="1"/>
    </xf>
    <xf numFmtId="0" fontId="19" fillId="0" borderId="33" xfId="0" applyFont="1" applyBorder="1" applyAlignment="1" applyProtection="1">
      <alignment horizontal="center" vertical="center" wrapText="1"/>
      <protection hidden="1"/>
    </xf>
    <xf numFmtId="0" fontId="19" fillId="0" borderId="35" xfId="0" applyFont="1" applyBorder="1" applyAlignment="1" applyProtection="1">
      <alignment horizontal="center" vertical="center" wrapText="1"/>
      <protection hidden="1"/>
    </xf>
    <xf numFmtId="0" fontId="47" fillId="13" borderId="9" xfId="0" applyFont="1" applyFill="1" applyBorder="1" applyAlignment="1" applyProtection="1">
      <alignment horizontal="left" vertical="center" wrapText="1"/>
      <protection hidden="1"/>
    </xf>
    <xf numFmtId="0" fontId="47" fillId="13" borderId="21" xfId="0" applyFont="1" applyFill="1" applyBorder="1" applyAlignment="1" applyProtection="1">
      <alignment horizontal="left" vertical="center" wrapText="1"/>
      <protection hidden="1"/>
    </xf>
    <xf numFmtId="0" fontId="11" fillId="62" borderId="9" xfId="5" applyFont="1" applyFill="1" applyBorder="1" applyAlignment="1" applyProtection="1">
      <alignment horizontal="center" vertical="center" wrapText="1"/>
      <protection hidden="1"/>
    </xf>
    <xf numFmtId="0" fontId="11" fillId="62" borderId="21" xfId="5" applyFont="1" applyFill="1" applyBorder="1" applyAlignment="1" applyProtection="1">
      <alignment horizontal="center" vertical="center" wrapText="1"/>
      <protection hidden="1"/>
    </xf>
    <xf numFmtId="175" fontId="11" fillId="61" borderId="125" xfId="7" applyNumberFormat="1" applyFont="1" applyFill="1" applyBorder="1" applyAlignment="1" applyProtection="1">
      <alignment horizontal="center" vertical="center"/>
      <protection hidden="1"/>
    </xf>
    <xf numFmtId="175" fontId="11" fillId="61" borderId="3" xfId="7" applyNumberFormat="1" applyFont="1" applyFill="1" applyBorder="1" applyAlignment="1" applyProtection="1">
      <alignment horizontal="center" vertical="center"/>
      <protection hidden="1"/>
    </xf>
    <xf numFmtId="0" fontId="14" fillId="0" borderId="9" xfId="0" applyFont="1" applyBorder="1" applyAlignment="1" applyProtection="1">
      <alignment horizontal="justify" vertical="center" wrapText="1"/>
      <protection hidden="1"/>
    </xf>
    <xf numFmtId="0" fontId="14" fillId="0" borderId="13" xfId="0" applyFont="1" applyBorder="1" applyAlignment="1" applyProtection="1">
      <alignment horizontal="justify" vertical="center"/>
      <protection hidden="1"/>
    </xf>
    <xf numFmtId="0" fontId="14" fillId="0" borderId="21" xfId="0" applyFont="1" applyBorder="1" applyAlignment="1" applyProtection="1">
      <alignment horizontal="justify" vertical="center"/>
      <protection hidden="1"/>
    </xf>
    <xf numFmtId="0" fontId="14" fillId="0" borderId="0" xfId="0" applyFont="1" applyAlignment="1">
      <alignment horizontal="left" vertical="center" wrapText="1"/>
    </xf>
    <xf numFmtId="0" fontId="149" fillId="54" borderId="9" xfId="5" applyFont="1" applyFill="1" applyBorder="1" applyAlignment="1" applyProtection="1">
      <alignment horizontal="center" vertical="center"/>
      <protection hidden="1"/>
    </xf>
    <xf numFmtId="0" fontId="149" fillId="54" borderId="13" xfId="5" applyFont="1" applyFill="1" applyBorder="1" applyAlignment="1" applyProtection="1">
      <alignment horizontal="center" vertical="center"/>
      <protection hidden="1"/>
    </xf>
    <xf numFmtId="0" fontId="149" fillId="54" borderId="21" xfId="5" applyFont="1" applyFill="1" applyBorder="1" applyAlignment="1" applyProtection="1">
      <alignment horizontal="center" vertical="center"/>
      <protection hidden="1"/>
    </xf>
    <xf numFmtId="0" fontId="35" fillId="36" borderId="38" xfId="33" applyFont="1" applyFill="1" applyBorder="1" applyAlignment="1" applyProtection="1">
      <alignment horizontal="center" vertical="center" wrapText="1"/>
      <protection hidden="1"/>
    </xf>
    <xf numFmtId="0" fontId="35" fillId="36" borderId="39" xfId="33" applyFont="1" applyFill="1" applyBorder="1" applyAlignment="1" applyProtection="1">
      <alignment horizontal="center" vertical="center" wrapText="1"/>
      <protection hidden="1"/>
    </xf>
    <xf numFmtId="0" fontId="35" fillId="36" borderId="40" xfId="33" applyFont="1" applyFill="1" applyBorder="1" applyAlignment="1" applyProtection="1">
      <alignment horizontal="center" vertical="center" wrapText="1"/>
      <protection hidden="1"/>
    </xf>
    <xf numFmtId="0" fontId="35" fillId="36" borderId="6" xfId="33" applyFont="1" applyFill="1" applyBorder="1" applyAlignment="1" applyProtection="1">
      <alignment horizontal="center" vertical="center" wrapText="1"/>
      <protection hidden="1"/>
    </xf>
    <xf numFmtId="0" fontId="35" fillId="36" borderId="7" xfId="33" applyFont="1" applyFill="1" applyBorder="1" applyAlignment="1" applyProtection="1">
      <alignment horizontal="center" vertical="center" wrapText="1"/>
      <protection hidden="1"/>
    </xf>
    <xf numFmtId="0" fontId="35" fillId="36" borderId="127" xfId="33" applyFont="1" applyFill="1" applyBorder="1" applyAlignment="1" applyProtection="1">
      <alignment horizontal="center" vertical="center" wrapText="1"/>
      <protection hidden="1"/>
    </xf>
    <xf numFmtId="0" fontId="109" fillId="15" borderId="124" xfId="5" applyFont="1" applyFill="1" applyBorder="1" applyAlignment="1" applyProtection="1">
      <alignment horizontal="center" vertical="center"/>
      <protection hidden="1"/>
    </xf>
    <xf numFmtId="0" fontId="109" fillId="15" borderId="128" xfId="5" applyFont="1" applyFill="1" applyBorder="1" applyAlignment="1" applyProtection="1">
      <alignment horizontal="center" vertical="center"/>
      <protection hidden="1"/>
    </xf>
    <xf numFmtId="0" fontId="109" fillId="15" borderId="130" xfId="5" applyFont="1" applyFill="1" applyBorder="1" applyAlignment="1" applyProtection="1">
      <alignment horizontal="center" vertical="center"/>
      <protection hidden="1"/>
    </xf>
    <xf numFmtId="0" fontId="35" fillId="36" borderId="48" xfId="33" applyFont="1" applyFill="1" applyBorder="1" applyAlignment="1" applyProtection="1">
      <alignment horizontal="center" vertical="center" wrapText="1"/>
      <protection hidden="1"/>
    </xf>
    <xf numFmtId="0" fontId="35" fillId="36" borderId="11" xfId="33" applyFont="1" applyFill="1" applyBorder="1" applyAlignment="1" applyProtection="1">
      <alignment horizontal="center" vertical="center" wrapText="1"/>
      <protection hidden="1"/>
    </xf>
    <xf numFmtId="0" fontId="35" fillId="36" borderId="22" xfId="33" applyFont="1" applyFill="1" applyBorder="1" applyAlignment="1" applyProtection="1">
      <alignment horizontal="center" vertical="center" wrapText="1"/>
      <protection hidden="1"/>
    </xf>
    <xf numFmtId="0" fontId="35" fillId="36" borderId="8" xfId="33" applyFont="1" applyFill="1" applyBorder="1" applyAlignment="1" applyProtection="1">
      <alignment horizontal="center" vertical="center" wrapText="1"/>
      <protection hidden="1"/>
    </xf>
    <xf numFmtId="0" fontId="35" fillId="36" borderId="129" xfId="33" applyFont="1" applyFill="1" applyBorder="1" applyAlignment="1" applyProtection="1">
      <alignment horizontal="center" vertical="center" wrapText="1"/>
      <protection hidden="1"/>
    </xf>
    <xf numFmtId="9" fontId="146" fillId="14" borderId="9" xfId="7" applyFont="1" applyFill="1" applyBorder="1" applyAlignment="1" applyProtection="1">
      <alignment horizontal="center" vertical="center" wrapText="1"/>
      <protection hidden="1"/>
    </xf>
    <xf numFmtId="9" fontId="146" fillId="14" borderId="21" xfId="7" applyFont="1" applyFill="1" applyBorder="1" applyAlignment="1" applyProtection="1">
      <alignment horizontal="center" vertical="center" wrapText="1"/>
      <protection hidden="1"/>
    </xf>
    <xf numFmtId="0" fontId="10" fillId="36" borderId="45" xfId="5" applyFont="1" applyFill="1" applyBorder="1" applyAlignment="1" applyProtection="1">
      <alignment horizontal="center" vertical="center" wrapText="1"/>
      <protection hidden="1"/>
    </xf>
    <xf numFmtId="0" fontId="10" fillId="36" borderId="0" xfId="5" applyFont="1" applyFill="1" applyAlignment="1" applyProtection="1">
      <alignment horizontal="center" vertical="center" wrapText="1"/>
      <protection hidden="1"/>
    </xf>
    <xf numFmtId="0" fontId="10" fillId="36" borderId="26" xfId="5" applyFont="1" applyFill="1" applyBorder="1" applyAlignment="1" applyProtection="1">
      <alignment horizontal="center" vertical="center" wrapText="1"/>
      <protection hidden="1"/>
    </xf>
    <xf numFmtId="0" fontId="10" fillId="41" borderId="4" xfId="23" applyFont="1" applyBorder="1" applyAlignment="1" applyProtection="1">
      <alignment horizontal="center" vertical="center" wrapText="1"/>
      <protection hidden="1"/>
    </xf>
    <xf numFmtId="0" fontId="28" fillId="59" borderId="4" xfId="5" applyFont="1" applyFill="1" applyBorder="1" applyAlignment="1" applyProtection="1">
      <alignment horizontal="center" vertical="center" wrapText="1"/>
      <protection hidden="1"/>
    </xf>
    <xf numFmtId="0" fontId="10" fillId="36" borderId="49" xfId="5" applyFont="1" applyFill="1" applyBorder="1" applyAlignment="1" applyProtection="1">
      <alignment horizontal="center" vertical="center" wrapText="1"/>
      <protection hidden="1"/>
    </xf>
    <xf numFmtId="0" fontId="10" fillId="36" borderId="16" xfId="5" applyFont="1" applyFill="1" applyBorder="1" applyAlignment="1" applyProtection="1">
      <alignment horizontal="center" vertical="center" wrapText="1"/>
      <protection hidden="1"/>
    </xf>
    <xf numFmtId="0" fontId="10" fillId="36" borderId="14" xfId="5" applyFont="1" applyFill="1" applyBorder="1" applyAlignment="1" applyProtection="1">
      <alignment horizontal="center" vertical="center" wrapText="1"/>
      <protection hidden="1"/>
    </xf>
    <xf numFmtId="0" fontId="10" fillId="36" borderId="4" xfId="5" applyFont="1" applyFill="1" applyBorder="1" applyAlignment="1" applyProtection="1">
      <alignment horizontal="center" vertical="center" wrapText="1"/>
      <protection hidden="1"/>
    </xf>
    <xf numFmtId="0" fontId="10" fillId="36" borderId="24" xfId="5" applyFont="1" applyFill="1" applyBorder="1" applyAlignment="1" applyProtection="1">
      <alignment horizontal="center" vertical="center" wrapText="1"/>
      <protection hidden="1"/>
    </xf>
    <xf numFmtId="0" fontId="73" fillId="4" borderId="131" xfId="5" applyFont="1" applyFill="1" applyBorder="1" applyAlignment="1" applyProtection="1">
      <alignment horizontal="center" vertical="center" wrapText="1"/>
      <protection hidden="1"/>
    </xf>
    <xf numFmtId="0" fontId="73" fillId="4" borderId="51" xfId="5" applyFont="1" applyFill="1" applyBorder="1" applyAlignment="1" applyProtection="1">
      <alignment horizontal="center" vertical="center" wrapText="1"/>
      <protection hidden="1"/>
    </xf>
    <xf numFmtId="0" fontId="73" fillId="4" borderId="134" xfId="5" applyFont="1" applyFill="1" applyBorder="1" applyAlignment="1" applyProtection="1">
      <alignment horizontal="center" vertical="center" wrapText="1"/>
      <protection hidden="1"/>
    </xf>
    <xf numFmtId="0" fontId="23" fillId="22" borderId="27" xfId="12" applyFont="1" applyBorder="1" applyAlignment="1" applyProtection="1">
      <alignment horizontal="center" vertical="center" wrapText="1"/>
      <protection hidden="1"/>
    </xf>
    <xf numFmtId="0" fontId="23" fillId="22" borderId="132" xfId="12" applyFont="1" applyBorder="1" applyAlignment="1" applyProtection="1">
      <alignment horizontal="center" vertical="center" wrapText="1"/>
      <protection hidden="1"/>
    </xf>
    <xf numFmtId="0" fontId="23" fillId="22" borderId="87" xfId="12" applyFont="1" applyBorder="1" applyAlignment="1" applyProtection="1">
      <alignment horizontal="center" vertical="center" wrapText="1"/>
      <protection hidden="1"/>
    </xf>
    <xf numFmtId="0" fontId="74" fillId="4" borderId="4" xfId="5" applyFont="1" applyFill="1" applyBorder="1" applyAlignment="1" applyProtection="1">
      <alignment horizontal="center" vertical="center" textRotation="90" wrapText="1"/>
      <protection hidden="1"/>
    </xf>
    <xf numFmtId="0" fontId="150" fillId="4" borderId="20" xfId="5" applyFont="1" applyFill="1" applyBorder="1" applyAlignment="1" applyProtection="1">
      <alignment horizontal="center" vertical="center" wrapText="1"/>
      <protection hidden="1"/>
    </xf>
    <xf numFmtId="0" fontId="150" fillId="4" borderId="24" xfId="5" applyFont="1" applyFill="1" applyBorder="1" applyAlignment="1" applyProtection="1">
      <alignment horizontal="center" vertical="center" wrapText="1"/>
      <protection hidden="1"/>
    </xf>
    <xf numFmtId="0" fontId="150" fillId="4" borderId="47" xfId="5" applyFont="1" applyFill="1" applyBorder="1" applyAlignment="1" applyProtection="1">
      <alignment horizontal="center" vertical="center" wrapText="1"/>
      <protection hidden="1"/>
    </xf>
    <xf numFmtId="0" fontId="53" fillId="4" borderId="4" xfId="5" applyFont="1" applyFill="1" applyBorder="1" applyAlignment="1" applyProtection="1">
      <alignment horizontal="center" vertical="center" wrapText="1"/>
      <protection hidden="1"/>
    </xf>
    <xf numFmtId="0" fontId="151" fillId="4" borderId="4" xfId="5" applyFont="1" applyFill="1" applyBorder="1" applyAlignment="1" applyProtection="1">
      <alignment horizontal="center" vertical="center" wrapText="1"/>
      <protection hidden="1"/>
    </xf>
    <xf numFmtId="10" fontId="109" fillId="15" borderId="17" xfId="5" applyNumberFormat="1" applyFont="1" applyFill="1" applyBorder="1" applyAlignment="1" applyProtection="1">
      <alignment horizontal="center" vertical="center"/>
      <protection locked="0"/>
    </xf>
    <xf numFmtId="0" fontId="65" fillId="4" borderId="4" xfId="5" applyFont="1" applyFill="1" applyBorder="1" applyAlignment="1" applyProtection="1">
      <alignment horizontal="center" vertical="center" textRotation="90" wrapText="1"/>
      <protection hidden="1"/>
    </xf>
    <xf numFmtId="0" fontId="150" fillId="4" borderId="4" xfId="5" applyFont="1" applyFill="1" applyBorder="1" applyAlignment="1" applyProtection="1">
      <alignment horizontal="center" vertical="center" wrapText="1"/>
      <protection hidden="1"/>
    </xf>
    <xf numFmtId="0" fontId="53" fillId="4" borderId="20" xfId="5" applyFont="1" applyFill="1" applyBorder="1" applyAlignment="1" applyProtection="1">
      <alignment horizontal="center" vertical="center" wrapText="1"/>
      <protection hidden="1"/>
    </xf>
    <xf numFmtId="0" fontId="53" fillId="4" borderId="24" xfId="5" applyFont="1" applyFill="1" applyBorder="1" applyAlignment="1" applyProtection="1">
      <alignment horizontal="center" vertical="center" wrapText="1"/>
      <protection hidden="1"/>
    </xf>
    <xf numFmtId="0" fontId="53" fillId="4" borderId="14" xfId="5" applyFont="1" applyFill="1" applyBorder="1" applyAlignment="1" applyProtection="1">
      <alignment horizontal="center" vertical="center" wrapText="1"/>
      <protection hidden="1"/>
    </xf>
    <xf numFmtId="0" fontId="65" fillId="4" borderId="20" xfId="5" applyFont="1" applyFill="1" applyBorder="1" applyAlignment="1" applyProtection="1">
      <alignment horizontal="center" vertical="center" textRotation="90" wrapText="1"/>
      <protection hidden="1"/>
    </xf>
    <xf numFmtId="0" fontId="65" fillId="4" borderId="24" xfId="5" applyFont="1" applyFill="1" applyBorder="1" applyAlignment="1" applyProtection="1">
      <alignment horizontal="center" vertical="center" textRotation="90" wrapText="1"/>
      <protection hidden="1"/>
    </xf>
    <xf numFmtId="0" fontId="65" fillId="4" borderId="14" xfId="5" applyFont="1" applyFill="1" applyBorder="1" applyAlignment="1" applyProtection="1">
      <alignment horizontal="center" vertical="center" textRotation="90" wrapText="1"/>
      <protection hidden="1"/>
    </xf>
    <xf numFmtId="0" fontId="150" fillId="4" borderId="14" xfId="5" applyFont="1" applyFill="1" applyBorder="1" applyAlignment="1" applyProtection="1">
      <alignment horizontal="center" vertical="center" wrapText="1"/>
      <protection hidden="1"/>
    </xf>
    <xf numFmtId="10" fontId="109" fillId="15" borderId="28" xfId="5" applyNumberFormat="1" applyFont="1" applyFill="1" applyBorder="1" applyAlignment="1" applyProtection="1">
      <alignment horizontal="center" vertical="center"/>
      <protection locked="0"/>
    </xf>
    <xf numFmtId="10" fontId="109" fillId="15" borderId="133" xfId="5" applyNumberFormat="1" applyFont="1" applyFill="1" applyBorder="1" applyAlignment="1" applyProtection="1">
      <alignment horizontal="center" vertical="center"/>
      <protection locked="0"/>
    </xf>
    <xf numFmtId="10" fontId="109" fillId="15" borderId="15" xfId="5" applyNumberFormat="1" applyFont="1" applyFill="1" applyBorder="1" applyAlignment="1" applyProtection="1">
      <alignment horizontal="center" vertical="center"/>
      <protection locked="0"/>
    </xf>
    <xf numFmtId="0" fontId="28" fillId="4" borderId="9" xfId="5" applyFont="1" applyFill="1" applyBorder="1" applyAlignment="1" applyProtection="1">
      <alignment horizontal="center" vertical="center" wrapText="1"/>
      <protection hidden="1"/>
    </xf>
    <xf numFmtId="0" fontId="28" fillId="4" borderId="13" xfId="5" applyFont="1" applyFill="1" applyBorder="1" applyAlignment="1" applyProtection="1">
      <alignment horizontal="center" vertical="center" wrapText="1"/>
      <protection hidden="1"/>
    </xf>
    <xf numFmtId="0" fontId="28" fillId="4" borderId="21" xfId="5" applyFont="1" applyFill="1" applyBorder="1" applyAlignment="1" applyProtection="1">
      <alignment horizontal="center" vertical="center" wrapText="1"/>
      <protection hidden="1"/>
    </xf>
    <xf numFmtId="0" fontId="35" fillId="4" borderId="20" xfId="0" applyFont="1" applyFill="1" applyBorder="1" applyAlignment="1" applyProtection="1">
      <alignment horizontal="center" vertical="center" textRotation="90" wrapText="1"/>
      <protection hidden="1"/>
    </xf>
    <xf numFmtId="0" fontId="35" fillId="4" borderId="24" xfId="0" applyFont="1" applyFill="1" applyBorder="1" applyAlignment="1" applyProtection="1">
      <alignment horizontal="center" vertical="center" textRotation="90" wrapText="1"/>
      <protection hidden="1"/>
    </xf>
    <xf numFmtId="0" fontId="35" fillId="4" borderId="47" xfId="0" applyFont="1" applyFill="1" applyBorder="1" applyAlignment="1" applyProtection="1">
      <alignment horizontal="center" vertical="center" textRotation="90" wrapText="1"/>
      <protection hidden="1"/>
    </xf>
    <xf numFmtId="0" fontId="23" fillId="22" borderId="135" xfId="12" applyFont="1" applyBorder="1" applyAlignment="1" applyProtection="1">
      <alignment horizontal="center" vertical="center" wrapText="1"/>
      <protection hidden="1"/>
    </xf>
    <xf numFmtId="0" fontId="23" fillId="22" borderId="98" xfId="12" applyFont="1" applyBorder="1" applyAlignment="1" applyProtection="1">
      <alignment horizontal="center" vertical="center" wrapText="1"/>
      <protection hidden="1"/>
    </xf>
    <xf numFmtId="0" fontId="23" fillId="22" borderId="136" xfId="12" applyFont="1" applyBorder="1" applyAlignment="1" applyProtection="1">
      <alignment horizontal="center" vertical="center" wrapText="1"/>
      <protection hidden="1"/>
    </xf>
    <xf numFmtId="0" fontId="65" fillId="4" borderId="10" xfId="5" applyFont="1" applyFill="1" applyBorder="1" applyAlignment="1" applyProtection="1">
      <alignment horizontal="center" vertical="center" wrapText="1"/>
      <protection hidden="1"/>
    </xf>
    <xf numFmtId="0" fontId="65" fillId="4" borderId="16" xfId="5" applyFont="1" applyFill="1" applyBorder="1" applyAlignment="1" applyProtection="1">
      <alignment horizontal="center" vertical="center" wrapText="1"/>
      <protection hidden="1"/>
    </xf>
    <xf numFmtId="0" fontId="150" fillId="4" borderId="11" xfId="5" applyFont="1" applyFill="1" applyBorder="1" applyAlignment="1" applyProtection="1">
      <alignment horizontal="justify" vertical="center" wrapText="1"/>
      <protection hidden="1"/>
    </xf>
    <xf numFmtId="0" fontId="53" fillId="4" borderId="7" xfId="5" applyFont="1" applyFill="1" applyBorder="1" applyAlignment="1" applyProtection="1">
      <alignment horizontal="center" vertical="center" wrapText="1"/>
      <protection hidden="1"/>
    </xf>
    <xf numFmtId="0" fontId="65" fillId="4" borderId="11" xfId="5" applyFont="1" applyFill="1" applyBorder="1" applyAlignment="1" applyProtection="1">
      <alignment horizontal="center" vertical="center" textRotation="90" wrapText="1"/>
      <protection hidden="1"/>
    </xf>
    <xf numFmtId="0" fontId="53" fillId="4" borderId="4" xfId="5" applyFont="1" applyFill="1" applyBorder="1" applyAlignment="1" applyProtection="1">
      <alignment horizontal="center" vertical="center" textRotation="90" wrapText="1"/>
      <protection hidden="1"/>
    </xf>
    <xf numFmtId="0" fontId="53" fillId="4" borderId="20" xfId="5" applyFont="1" applyFill="1" applyBorder="1" applyAlignment="1" applyProtection="1">
      <alignment horizontal="center" vertical="center" textRotation="90" wrapText="1"/>
      <protection hidden="1"/>
    </xf>
    <xf numFmtId="0" fontId="150" fillId="4" borderId="7" xfId="5" applyFont="1" applyFill="1" applyBorder="1" applyAlignment="1" applyProtection="1">
      <alignment horizontal="justify" vertical="center" wrapText="1"/>
      <protection hidden="1"/>
    </xf>
    <xf numFmtId="0" fontId="150" fillId="4" borderId="24" xfId="5" applyFont="1" applyFill="1" applyBorder="1" applyAlignment="1" applyProtection="1">
      <alignment horizontal="justify" vertical="center" wrapText="1"/>
      <protection hidden="1"/>
    </xf>
    <xf numFmtId="0" fontId="150" fillId="4" borderId="47" xfId="5" applyFont="1" applyFill="1" applyBorder="1" applyAlignment="1" applyProtection="1">
      <alignment horizontal="justify" vertical="center" wrapText="1"/>
      <protection hidden="1"/>
    </xf>
    <xf numFmtId="0" fontId="150" fillId="4" borderId="11" xfId="5" applyFont="1" applyFill="1" applyBorder="1" applyAlignment="1" applyProtection="1">
      <alignment horizontal="center" vertical="center" wrapText="1"/>
      <protection hidden="1"/>
    </xf>
    <xf numFmtId="9" fontId="109" fillId="15" borderId="8" xfId="5" applyNumberFormat="1" applyFont="1" applyFill="1" applyBorder="1" applyAlignment="1" applyProtection="1">
      <alignment horizontal="center" vertical="center"/>
      <protection locked="0"/>
    </xf>
    <xf numFmtId="9" fontId="109" fillId="15" borderId="133" xfId="5" applyNumberFormat="1" applyFont="1" applyFill="1" applyBorder="1" applyAlignment="1" applyProtection="1">
      <alignment horizontal="center" vertical="center"/>
      <protection locked="0"/>
    </xf>
    <xf numFmtId="9" fontId="109" fillId="15" borderId="15" xfId="5" applyNumberFormat="1" applyFont="1" applyFill="1" applyBorder="1" applyAlignment="1" applyProtection="1">
      <alignment horizontal="center" vertical="center"/>
      <protection locked="0"/>
    </xf>
    <xf numFmtId="0" fontId="150" fillId="4" borderId="4" xfId="5" applyFont="1" applyFill="1" applyBorder="1" applyAlignment="1" applyProtection="1">
      <alignment horizontal="justify" vertical="center" wrapText="1"/>
      <protection hidden="1"/>
    </xf>
    <xf numFmtId="0" fontId="65" fillId="4" borderId="29" xfId="5" applyFont="1" applyFill="1" applyBorder="1" applyAlignment="1" applyProtection="1">
      <alignment horizontal="center" vertical="center" wrapText="1"/>
      <protection hidden="1"/>
    </xf>
    <xf numFmtId="0" fontId="53" fillId="4" borderId="47" xfId="5" applyFont="1" applyFill="1" applyBorder="1" applyAlignment="1" applyProtection="1">
      <alignment horizontal="center" vertical="center" wrapText="1"/>
      <protection hidden="1"/>
    </xf>
    <xf numFmtId="9" fontId="109" fillId="15" borderId="28" xfId="5" applyNumberFormat="1" applyFont="1" applyFill="1" applyBorder="1" applyAlignment="1" applyProtection="1">
      <alignment horizontal="center" vertical="center"/>
      <protection locked="0"/>
    </xf>
    <xf numFmtId="9" fontId="109" fillId="15" borderId="129" xfId="5" applyNumberFormat="1" applyFont="1" applyFill="1" applyBorder="1" applyAlignment="1" applyProtection="1">
      <alignment horizontal="center" vertical="center"/>
      <protection locked="0"/>
    </xf>
    <xf numFmtId="0" fontId="150" fillId="4" borderId="20" xfId="5" applyFont="1" applyFill="1" applyBorder="1" applyAlignment="1" applyProtection="1">
      <alignment horizontal="justify" vertical="center" wrapText="1"/>
      <protection hidden="1"/>
    </xf>
    <xf numFmtId="0" fontId="65" fillId="4" borderId="25" xfId="5" applyFont="1" applyFill="1" applyBorder="1" applyAlignment="1" applyProtection="1">
      <alignment horizontal="center" vertical="center" wrapText="1"/>
      <protection hidden="1"/>
    </xf>
    <xf numFmtId="0" fontId="151" fillId="4" borderId="4" xfId="5" applyFont="1" applyFill="1" applyBorder="1" applyAlignment="1" applyProtection="1">
      <alignment horizontal="justify" vertical="center" wrapText="1"/>
      <protection hidden="1"/>
    </xf>
    <xf numFmtId="0" fontId="53" fillId="4" borderId="22" xfId="5" applyFont="1" applyFill="1" applyBorder="1" applyAlignment="1" applyProtection="1">
      <alignment horizontal="center" vertical="center" textRotation="90" wrapText="1"/>
      <protection hidden="1"/>
    </xf>
    <xf numFmtId="0" fontId="151" fillId="4" borderId="22" xfId="5" applyFont="1" applyFill="1" applyBorder="1" applyAlignment="1" applyProtection="1">
      <alignment horizontal="center" vertical="center" wrapText="1"/>
      <protection hidden="1"/>
    </xf>
    <xf numFmtId="0" fontId="150" fillId="4" borderId="22" xfId="5" applyFont="1" applyFill="1" applyBorder="1" applyAlignment="1" applyProtection="1">
      <alignment horizontal="center" vertical="center" wrapText="1"/>
      <protection hidden="1"/>
    </xf>
    <xf numFmtId="0" fontId="153" fillId="0" borderId="0" xfId="0" applyFont="1" applyAlignment="1">
      <alignment horizontal="left" vertical="center"/>
    </xf>
    <xf numFmtId="0" fontId="153" fillId="0" borderId="102" xfId="0" applyFont="1" applyBorder="1" applyAlignment="1" applyProtection="1">
      <alignment horizontal="left" vertical="center"/>
      <protection hidden="1"/>
    </xf>
    <xf numFmtId="0" fontId="153" fillId="0" borderId="0" xfId="0" applyFont="1" applyAlignment="1" applyProtection="1">
      <alignment horizontal="left" vertical="center"/>
      <protection hidden="1"/>
    </xf>
    <xf numFmtId="0" fontId="14" fillId="0" borderId="102" xfId="0" applyFont="1" applyBorder="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14" fillId="0" borderId="103" xfId="0" applyFont="1" applyBorder="1" applyAlignment="1" applyProtection="1">
      <alignment horizontal="justify" vertical="center" wrapText="1"/>
      <protection hidden="1"/>
    </xf>
    <xf numFmtId="0" fontId="14" fillId="0" borderId="2" xfId="0" applyFont="1" applyBorder="1" applyAlignment="1" applyProtection="1">
      <alignment horizontal="justify" vertical="center" wrapText="1"/>
      <protection hidden="1"/>
    </xf>
    <xf numFmtId="0" fontId="14" fillId="0" borderId="3" xfId="0" applyFont="1" applyBorder="1" applyAlignment="1" applyProtection="1">
      <alignment horizontal="justify" vertical="center" wrapText="1"/>
      <protection hidden="1"/>
    </xf>
    <xf numFmtId="0" fontId="155" fillId="0" borderId="0" xfId="0" applyFont="1" applyAlignment="1">
      <alignment horizontal="left" vertical="center"/>
    </xf>
    <xf numFmtId="0" fontId="150" fillId="4" borderId="22" xfId="5" applyFont="1" applyFill="1" applyBorder="1" applyAlignment="1" applyProtection="1">
      <alignment horizontal="justify" vertical="center" wrapText="1"/>
      <protection hidden="1"/>
    </xf>
    <xf numFmtId="0" fontId="14" fillId="13" borderId="99" xfId="0" applyFont="1" applyFill="1" applyBorder="1" applyAlignment="1" applyProtection="1">
      <alignment horizontal="left" vertical="center" wrapText="1"/>
      <protection hidden="1"/>
    </xf>
    <xf numFmtId="0" fontId="14" fillId="13" borderId="100" xfId="0" applyFont="1" applyFill="1" applyBorder="1" applyAlignment="1" applyProtection="1">
      <alignment horizontal="left" vertical="center" wrapText="1"/>
      <protection hidden="1"/>
    </xf>
    <xf numFmtId="0" fontId="14" fillId="13" borderId="101" xfId="0" applyFont="1" applyFill="1" applyBorder="1" applyAlignment="1" applyProtection="1">
      <alignment horizontal="left" vertical="center" wrapText="1"/>
      <protection hidden="1"/>
    </xf>
    <xf numFmtId="0" fontId="40" fillId="0" borderId="102" xfId="0" applyFont="1" applyBorder="1" applyAlignment="1" applyProtection="1">
      <alignment horizontal="justify" vertical="center" wrapText="1"/>
      <protection hidden="1"/>
    </xf>
    <xf numFmtId="0" fontId="40" fillId="0" borderId="0" xfId="0" applyFont="1" applyAlignment="1" applyProtection="1">
      <alignment horizontal="justify" vertical="center" wrapText="1"/>
      <protection hidden="1"/>
    </xf>
    <xf numFmtId="0" fontId="40" fillId="0" borderId="26" xfId="0" applyFont="1" applyBorder="1" applyAlignment="1" applyProtection="1">
      <alignment horizontal="justify" vertical="center" wrapText="1"/>
      <protection hidden="1"/>
    </xf>
    <xf numFmtId="0" fontId="37" fillId="0" borderId="102" xfId="0" applyFont="1" applyBorder="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14" fillId="0" borderId="99" xfId="0" applyFont="1" applyBorder="1" applyAlignment="1" applyProtection="1">
      <alignment horizontal="center" vertical="center"/>
      <protection locked="0"/>
    </xf>
    <xf numFmtId="0" fontId="14" fillId="0" borderId="102" xfId="0" applyFont="1" applyBorder="1" applyAlignment="1" applyProtection="1">
      <alignment horizontal="center" vertical="center"/>
      <protection locked="0"/>
    </xf>
    <xf numFmtId="0" fontId="35" fillId="0" borderId="131" xfId="0" applyFont="1" applyBorder="1" applyAlignment="1" applyProtection="1">
      <alignment horizontal="center" vertical="center"/>
      <protection locked="0"/>
    </xf>
    <xf numFmtId="0" fontId="35" fillId="0" borderId="134" xfId="0" applyFont="1" applyBorder="1" applyAlignment="1" applyProtection="1">
      <alignment horizontal="center" vertical="center"/>
      <protection locked="0"/>
    </xf>
    <xf numFmtId="0" fontId="35" fillId="0" borderId="11" xfId="0" applyFont="1" applyBorder="1" applyAlignment="1" applyProtection="1">
      <alignment horizontal="left" vertical="center" wrapText="1"/>
      <protection locked="0"/>
    </xf>
    <xf numFmtId="0" fontId="35" fillId="0" borderId="12" xfId="0" applyFont="1" applyBorder="1" applyAlignment="1" applyProtection="1">
      <alignment horizontal="left" vertical="center" wrapText="1"/>
      <protection locked="0"/>
    </xf>
    <xf numFmtId="0" fontId="35" fillId="0" borderId="22" xfId="0" applyFont="1" applyBorder="1" applyAlignment="1" applyProtection="1">
      <alignment horizontal="left" vertical="center" wrapText="1"/>
      <protection locked="0"/>
    </xf>
    <xf numFmtId="0" fontId="35" fillId="0" borderId="23" xfId="0" applyFont="1" applyBorder="1" applyAlignment="1" applyProtection="1">
      <alignment horizontal="left" vertical="center" wrapText="1"/>
      <protection locked="0"/>
    </xf>
    <xf numFmtId="0" fontId="51" fillId="64" borderId="11" xfId="0" applyFont="1" applyFill="1" applyBorder="1" applyAlignment="1" applyProtection="1">
      <alignment horizontal="center" vertical="center" wrapText="1"/>
      <protection hidden="1"/>
    </xf>
    <xf numFmtId="0" fontId="51" fillId="64" borderId="22" xfId="0" applyFont="1" applyFill="1" applyBorder="1" applyAlignment="1" applyProtection="1">
      <alignment horizontal="center" vertical="center" wrapText="1"/>
      <protection hidden="1"/>
    </xf>
    <xf numFmtId="0" fontId="51" fillId="64" borderId="12" xfId="0" applyFont="1" applyFill="1" applyBorder="1" applyAlignment="1" applyProtection="1">
      <alignment horizontal="center" vertical="center" wrapText="1"/>
      <protection hidden="1"/>
    </xf>
    <xf numFmtId="0" fontId="51" fillId="64" borderId="23" xfId="0" applyFont="1" applyFill="1" applyBorder="1" applyAlignment="1" applyProtection="1">
      <alignment horizontal="center" vertical="center" wrapText="1"/>
      <protection hidden="1"/>
    </xf>
    <xf numFmtId="0" fontId="47" fillId="0" borderId="4" xfId="0" applyFont="1" applyBorder="1" applyAlignment="1" applyProtection="1">
      <alignment horizontal="justify" vertical="center" wrapText="1"/>
      <protection hidden="1"/>
    </xf>
    <xf numFmtId="0" fontId="47" fillId="0" borderId="144" xfId="0" applyFont="1" applyBorder="1" applyAlignment="1" applyProtection="1">
      <alignment horizontal="justify" vertical="center" wrapText="1"/>
      <protection hidden="1"/>
    </xf>
    <xf numFmtId="0" fontId="47" fillId="0" borderId="95" xfId="0" applyFont="1" applyBorder="1" applyAlignment="1" applyProtection="1">
      <alignment horizontal="justify" vertical="center" wrapText="1"/>
      <protection hidden="1"/>
    </xf>
    <xf numFmtId="0" fontId="47" fillId="0" borderId="145" xfId="0" applyFont="1" applyBorder="1" applyAlignment="1" applyProtection="1">
      <alignment horizontal="justify" vertical="center" wrapText="1"/>
      <protection hidden="1"/>
    </xf>
    <xf numFmtId="0" fontId="47" fillId="0" borderId="31" xfId="0" applyFont="1" applyBorder="1" applyAlignment="1" applyProtection="1">
      <alignment horizontal="justify" vertical="center" wrapText="1"/>
      <protection hidden="1"/>
    </xf>
    <xf numFmtId="0" fontId="47" fillId="0" borderId="33" xfId="0" applyFont="1" applyBorder="1" applyAlignment="1" applyProtection="1">
      <alignment horizontal="justify" vertical="center" wrapText="1"/>
      <protection hidden="1"/>
    </xf>
    <xf numFmtId="0" fontId="47" fillId="0" borderId="35" xfId="0" applyFont="1" applyBorder="1" applyAlignment="1" applyProtection="1">
      <alignment horizontal="justify" vertical="center" wrapText="1"/>
      <protection hidden="1"/>
    </xf>
    <xf numFmtId="0" fontId="51" fillId="64" borderId="10" xfId="0" applyFont="1" applyFill="1" applyBorder="1" applyAlignment="1" applyProtection="1">
      <alignment horizontal="center" vertical="center" wrapText="1"/>
      <protection hidden="1"/>
    </xf>
    <xf numFmtId="0" fontId="51" fillId="64" borderId="25" xfId="0" applyFont="1" applyFill="1" applyBorder="1" applyAlignment="1" applyProtection="1">
      <alignment horizontal="center" vertical="center" wrapText="1"/>
      <protection hidden="1"/>
    </xf>
    <xf numFmtId="0" fontId="51" fillId="64" borderId="102" xfId="0" applyFont="1" applyFill="1" applyBorder="1" applyAlignment="1" applyProtection="1">
      <alignment horizontal="center" vertical="center" wrapText="1"/>
      <protection hidden="1"/>
    </xf>
    <xf numFmtId="0" fontId="51" fillId="64" borderId="26" xfId="0" applyFont="1" applyFill="1" applyBorder="1" applyAlignment="1" applyProtection="1">
      <alignment horizontal="center" vertical="center" wrapText="1"/>
      <protection hidden="1"/>
    </xf>
    <xf numFmtId="0" fontId="51" fillId="64" borderId="103" xfId="0" applyFont="1" applyFill="1" applyBorder="1" applyAlignment="1" applyProtection="1">
      <alignment horizontal="center" vertical="center" wrapText="1"/>
      <protection hidden="1"/>
    </xf>
    <xf numFmtId="0" fontId="51" fillId="64" borderId="3" xfId="0" applyFont="1" applyFill="1" applyBorder="1" applyAlignment="1" applyProtection="1">
      <alignment horizontal="center" vertical="center" wrapText="1"/>
      <protection hidden="1"/>
    </xf>
    <xf numFmtId="0" fontId="51" fillId="64" borderId="100" xfId="0" applyFont="1" applyFill="1" applyBorder="1" applyAlignment="1" applyProtection="1">
      <alignment horizontal="center" vertical="center"/>
      <protection hidden="1"/>
    </xf>
    <xf numFmtId="0" fontId="51" fillId="64" borderId="2" xfId="0" applyFont="1" applyFill="1" applyBorder="1" applyAlignment="1" applyProtection="1">
      <alignment horizontal="center" vertical="center"/>
      <protection hidden="1"/>
    </xf>
    <xf numFmtId="0" fontId="51" fillId="64" borderId="99" xfId="0" applyFont="1" applyFill="1" applyBorder="1" applyAlignment="1" applyProtection="1">
      <alignment horizontal="center" vertical="center"/>
      <protection hidden="1"/>
    </xf>
    <xf numFmtId="0" fontId="51" fillId="64" borderId="0" xfId="0" applyFont="1" applyFill="1" applyAlignment="1" applyProtection="1">
      <alignment horizontal="center" vertical="center"/>
      <protection hidden="1"/>
    </xf>
    <xf numFmtId="0" fontId="51" fillId="64" borderId="103" xfId="0" applyFont="1" applyFill="1" applyBorder="1" applyAlignment="1" applyProtection="1">
      <alignment horizontal="center" vertical="center"/>
      <protection hidden="1"/>
    </xf>
    <xf numFmtId="10" fontId="25" fillId="0" borderId="32" xfId="2" applyNumberFormat="1" applyFont="1" applyBorder="1" applyAlignment="1" applyProtection="1">
      <alignment horizontal="center" vertical="center"/>
      <protection locked="0"/>
    </xf>
    <xf numFmtId="10" fontId="25" fillId="0" borderId="140" xfId="2" applyNumberFormat="1" applyFont="1" applyBorder="1" applyAlignment="1" applyProtection="1">
      <alignment horizontal="center" vertical="center"/>
      <protection locked="0"/>
    </xf>
    <xf numFmtId="10" fontId="25" fillId="0" borderId="18" xfId="2" applyNumberFormat="1" applyFont="1" applyBorder="1" applyAlignment="1" applyProtection="1">
      <alignment horizontal="center" vertical="center"/>
      <protection locked="0"/>
    </xf>
    <xf numFmtId="0" fontId="51" fillId="64" borderId="99" xfId="0" applyFont="1" applyFill="1" applyBorder="1" applyAlignment="1" applyProtection="1">
      <alignment horizontal="center" vertical="center" wrapText="1"/>
      <protection hidden="1"/>
    </xf>
    <xf numFmtId="0" fontId="51" fillId="64" borderId="101" xfId="0" applyFont="1" applyFill="1" applyBorder="1" applyAlignment="1" applyProtection="1">
      <alignment horizontal="center" vertical="center" wrapText="1"/>
      <protection hidden="1"/>
    </xf>
    <xf numFmtId="0" fontId="51" fillId="64" borderId="29" xfId="0" applyFont="1" applyFill="1" applyBorder="1" applyAlignment="1" applyProtection="1">
      <alignment horizontal="center" vertical="center" wrapText="1"/>
      <protection hidden="1"/>
    </xf>
    <xf numFmtId="0" fontId="51" fillId="64" borderId="28" xfId="0" applyFont="1" applyFill="1" applyBorder="1" applyAlignment="1" applyProtection="1">
      <alignment horizontal="center" vertical="center" wrapText="1"/>
      <protection hidden="1"/>
    </xf>
    <xf numFmtId="0" fontId="51" fillId="64" borderId="158" xfId="0" applyFont="1" applyFill="1" applyBorder="1" applyAlignment="1" applyProtection="1">
      <alignment horizontal="center" vertical="center" wrapText="1"/>
      <protection hidden="1"/>
    </xf>
    <xf numFmtId="10" fontId="25" fillId="0" borderId="4" xfId="2" applyNumberFormat="1" applyFont="1" applyBorder="1" applyAlignment="1" applyProtection="1">
      <alignment horizontal="center" vertical="center"/>
      <protection locked="0"/>
    </xf>
    <xf numFmtId="10" fontId="14" fillId="0" borderId="4" xfId="2" applyNumberFormat="1" applyFont="1" applyBorder="1" applyAlignment="1" applyProtection="1">
      <alignment horizontal="center" vertical="center"/>
      <protection locked="0"/>
    </xf>
    <xf numFmtId="0" fontId="14" fillId="0" borderId="153" xfId="0" applyFont="1" applyBorder="1" applyAlignment="1" applyProtection="1">
      <alignment horizontal="center" vertical="center"/>
      <protection locked="0"/>
    </xf>
    <xf numFmtId="0" fontId="14" fillId="0" borderId="132" xfId="0" applyFont="1" applyBorder="1" applyAlignment="1" applyProtection="1">
      <alignment horizontal="center" vertical="center"/>
      <protection locked="0"/>
    </xf>
    <xf numFmtId="0" fontId="14" fillId="0" borderId="87" xfId="0" applyFont="1" applyBorder="1" applyAlignment="1" applyProtection="1">
      <alignment horizontal="center" vertical="center"/>
      <protection locked="0"/>
    </xf>
    <xf numFmtId="0" fontId="36" fillId="0" borderId="4" xfId="0" applyFont="1" applyBorder="1" applyAlignment="1">
      <alignment horizontal="left" vertical="center" wrapText="1"/>
    </xf>
    <xf numFmtId="41" fontId="14" fillId="0" borderId="13" xfId="0" applyNumberFormat="1" applyFont="1" applyBorder="1" applyAlignment="1" applyProtection="1">
      <alignment horizontal="left" vertical="center" wrapText="1"/>
      <protection hidden="1"/>
    </xf>
    <xf numFmtId="0" fontId="14" fillId="0" borderId="13" xfId="0" applyFont="1" applyBorder="1" applyAlignment="1" applyProtection="1">
      <alignment horizontal="left" vertical="center" wrapText="1"/>
      <protection hidden="1"/>
    </xf>
    <xf numFmtId="0" fontId="22" fillId="0" borderId="0" xfId="0" applyFont="1" applyAlignment="1" applyProtection="1">
      <alignment horizontal="center" vertical="center"/>
      <protection hidden="1"/>
    </xf>
    <xf numFmtId="0" fontId="14" fillId="0" borderId="4" xfId="0" applyFont="1" applyBorder="1" applyAlignment="1">
      <alignment horizontal="center" vertical="center"/>
    </xf>
    <xf numFmtId="0" fontId="51" fillId="64" borderId="127" xfId="0" applyFont="1" applyFill="1" applyBorder="1" applyAlignment="1" applyProtection="1">
      <alignment horizontal="center" vertical="center" wrapText="1"/>
      <protection hidden="1"/>
    </xf>
    <xf numFmtId="0" fontId="51" fillId="64" borderId="100" xfId="0" applyFont="1" applyFill="1" applyBorder="1" applyAlignment="1" applyProtection="1">
      <alignment horizontal="center" vertical="center" wrapText="1"/>
      <protection hidden="1"/>
    </xf>
    <xf numFmtId="0" fontId="51" fillId="64" borderId="6" xfId="0" applyFont="1" applyFill="1" applyBorder="1" applyAlignment="1" applyProtection="1">
      <alignment horizontal="center" vertical="center" wrapText="1"/>
      <protection hidden="1"/>
    </xf>
    <xf numFmtId="0" fontId="51" fillId="64" borderId="125" xfId="0" applyFont="1" applyFill="1" applyBorder="1" applyAlignment="1" applyProtection="1">
      <alignment horizontal="center" vertical="center" wrapText="1"/>
      <protection hidden="1"/>
    </xf>
    <xf numFmtId="0" fontId="51" fillId="64" borderId="2" xfId="0" applyFont="1" applyFill="1" applyBorder="1" applyAlignment="1" applyProtection="1">
      <alignment horizontal="center" vertical="center" wrapText="1"/>
      <protection hidden="1"/>
    </xf>
    <xf numFmtId="0" fontId="51" fillId="64" borderId="142" xfId="0" applyFont="1" applyFill="1" applyBorder="1" applyAlignment="1" applyProtection="1">
      <alignment horizontal="center" vertical="center" wrapText="1"/>
      <protection hidden="1"/>
    </xf>
    <xf numFmtId="0" fontId="77" fillId="25" borderId="9" xfId="0" applyFont="1" applyFill="1" applyBorder="1" applyAlignment="1" applyProtection="1">
      <alignment horizontal="center" vertical="center"/>
      <protection hidden="1"/>
    </xf>
    <xf numFmtId="0" fontId="77" fillId="25" borderId="13" xfId="0" applyFont="1" applyFill="1" applyBorder="1" applyAlignment="1" applyProtection="1">
      <alignment horizontal="center" vertical="center"/>
      <protection hidden="1"/>
    </xf>
    <xf numFmtId="0" fontId="77" fillId="25" borderId="21" xfId="0" applyFont="1" applyFill="1" applyBorder="1" applyAlignment="1" applyProtection="1">
      <alignment horizontal="center" vertical="center"/>
      <protection hidden="1"/>
    </xf>
    <xf numFmtId="0" fontId="0" fillId="0" borderId="9" xfId="0" applyBorder="1" applyAlignment="1" applyProtection="1">
      <alignment horizontal="justify" vertical="center" wrapText="1"/>
      <protection hidden="1"/>
    </xf>
    <xf numFmtId="0" fontId="0" fillId="0" borderId="13" xfId="0" applyBorder="1" applyAlignment="1" applyProtection="1">
      <alignment horizontal="justify" vertical="center" wrapText="1"/>
      <protection hidden="1"/>
    </xf>
    <xf numFmtId="0" fontId="0" fillId="0" borderId="21" xfId="0" applyBorder="1" applyAlignment="1" applyProtection="1">
      <alignment horizontal="justify" vertical="center" wrapText="1"/>
      <protection hidden="1"/>
    </xf>
    <xf numFmtId="0" fontId="77" fillId="0" borderId="0" xfId="0" applyFont="1" applyAlignment="1" applyProtection="1">
      <alignment horizontal="center" vertical="center"/>
      <protection hidden="1"/>
    </xf>
    <xf numFmtId="184" fontId="0" fillId="9" borderId="4" xfId="0" applyNumberFormat="1" applyFill="1" applyBorder="1" applyAlignment="1" applyProtection="1">
      <alignment horizontal="left" vertical="center" wrapText="1"/>
      <protection hidden="1"/>
    </xf>
    <xf numFmtId="14" fontId="0" fillId="9" borderId="4" xfId="0" applyNumberFormat="1" applyFill="1" applyBorder="1" applyAlignment="1" applyProtection="1">
      <alignment horizontal="left" vertical="center"/>
      <protection hidden="1"/>
    </xf>
    <xf numFmtId="0" fontId="72" fillId="9" borderId="0" xfId="0" applyFont="1" applyFill="1" applyAlignment="1" applyProtection="1">
      <alignment horizontal="center" vertical="center"/>
      <protection hidden="1"/>
    </xf>
    <xf numFmtId="0" fontId="77" fillId="13" borderId="0" xfId="0" applyFont="1" applyFill="1" applyAlignment="1" applyProtection="1">
      <alignment horizontal="center" vertical="center"/>
      <protection hidden="1"/>
    </xf>
    <xf numFmtId="0" fontId="59" fillId="0" borderId="0" xfId="0" applyFont="1" applyAlignment="1" applyProtection="1">
      <alignment horizontal="center" vertical="center"/>
      <protection hidden="1"/>
    </xf>
    <xf numFmtId="0" fontId="90" fillId="0" borderId="9" xfId="0" applyFont="1" applyBorder="1" applyAlignment="1" applyProtection="1">
      <alignment horizontal="center" vertical="center"/>
      <protection hidden="1"/>
    </xf>
    <xf numFmtId="0" fontId="90" fillId="0" borderId="21" xfId="0" applyFont="1" applyBorder="1" applyAlignment="1" applyProtection="1">
      <alignment horizontal="center" vertical="center"/>
      <protection hidden="1"/>
    </xf>
    <xf numFmtId="0" fontId="77" fillId="25" borderId="9" xfId="0" applyFont="1" applyFill="1" applyBorder="1" applyAlignment="1" applyProtection="1">
      <alignment horizontal="center" vertical="center" wrapText="1"/>
      <protection hidden="1"/>
    </xf>
    <xf numFmtId="0" fontId="77" fillId="25" borderId="13" xfId="0" applyFont="1" applyFill="1" applyBorder="1" applyAlignment="1" applyProtection="1">
      <alignment horizontal="center" vertical="center" wrapText="1"/>
      <protection hidden="1"/>
    </xf>
    <xf numFmtId="0" fontId="77" fillId="25" borderId="21" xfId="0" applyFont="1" applyFill="1" applyBorder="1" applyAlignment="1" applyProtection="1">
      <alignment horizontal="center" vertical="center" wrapText="1"/>
      <protection hidden="1"/>
    </xf>
    <xf numFmtId="0" fontId="77" fillId="12" borderId="9" xfId="0" applyFont="1" applyFill="1" applyBorder="1" applyAlignment="1" applyProtection="1">
      <alignment horizontal="center" vertical="center"/>
      <protection hidden="1"/>
    </xf>
    <xf numFmtId="0" fontId="77" fillId="12" borderId="13" xfId="0" applyFont="1" applyFill="1" applyBorder="1" applyAlignment="1" applyProtection="1">
      <alignment horizontal="center" vertical="center"/>
      <protection hidden="1"/>
    </xf>
    <xf numFmtId="0" fontId="93" fillId="13" borderId="45" xfId="0" applyFont="1" applyFill="1" applyBorder="1" applyAlignment="1" applyProtection="1">
      <alignment horizontal="center" vertical="center"/>
      <protection hidden="1"/>
    </xf>
    <xf numFmtId="0" fontId="93" fillId="13" borderId="0" xfId="0" applyFont="1" applyFill="1" applyAlignment="1" applyProtection="1">
      <alignment horizontal="center" vertical="center"/>
      <protection hidden="1"/>
    </xf>
    <xf numFmtId="0" fontId="86" fillId="0" borderId="9" xfId="0" applyFont="1" applyBorder="1" applyAlignment="1" applyProtection="1">
      <alignment horizontal="center" vertical="center"/>
      <protection hidden="1"/>
    </xf>
    <xf numFmtId="0" fontId="86" fillId="0" borderId="21" xfId="0" applyFont="1" applyBorder="1" applyAlignment="1" applyProtection="1">
      <alignment horizontal="center" vertical="center"/>
      <protection hidden="1"/>
    </xf>
    <xf numFmtId="0" fontId="87" fillId="25" borderId="9" xfId="0" applyFont="1" applyFill="1" applyBorder="1" applyAlignment="1" applyProtection="1">
      <alignment horizontal="center" vertical="center"/>
      <protection locked="0"/>
    </xf>
    <xf numFmtId="0" fontId="87" fillId="25" borderId="21" xfId="0" applyFont="1" applyFill="1" applyBorder="1" applyAlignment="1" applyProtection="1">
      <alignment horizontal="center" vertical="center"/>
      <protection locked="0"/>
    </xf>
    <xf numFmtId="0" fontId="87" fillId="25" borderId="9" xfId="0" applyFont="1" applyFill="1" applyBorder="1" applyAlignment="1" applyProtection="1">
      <alignment horizontal="center" vertical="center"/>
      <protection hidden="1"/>
    </xf>
    <xf numFmtId="0" fontId="87" fillId="25" borderId="21" xfId="0" applyFont="1" applyFill="1" applyBorder="1" applyAlignment="1" applyProtection="1">
      <alignment horizontal="center" vertical="center"/>
      <protection hidden="1"/>
    </xf>
    <xf numFmtId="0" fontId="89" fillId="25" borderId="9" xfId="0" applyFont="1" applyFill="1" applyBorder="1" applyAlignment="1" applyProtection="1">
      <alignment horizontal="center" vertical="center"/>
      <protection hidden="1"/>
    </xf>
    <xf numFmtId="0" fontId="89" fillId="25" borderId="21" xfId="0" applyFont="1" applyFill="1" applyBorder="1" applyAlignment="1" applyProtection="1">
      <alignment horizontal="center" vertical="center"/>
      <protection hidden="1"/>
    </xf>
    <xf numFmtId="0" fontId="101" fillId="20" borderId="9" xfId="0" applyFont="1" applyFill="1" applyBorder="1" applyAlignment="1" applyProtection="1">
      <alignment horizontal="left" vertical="center" wrapText="1"/>
      <protection hidden="1"/>
    </xf>
    <xf numFmtId="0" fontId="93" fillId="20" borderId="13" xfId="0" applyFont="1" applyFill="1" applyBorder="1" applyAlignment="1" applyProtection="1">
      <alignment horizontal="left" vertical="center" wrapText="1"/>
      <protection hidden="1"/>
    </xf>
    <xf numFmtId="0" fontId="93" fillId="20" borderId="21" xfId="0" applyFont="1" applyFill="1" applyBorder="1" applyAlignment="1" applyProtection="1">
      <alignment horizontal="left" vertical="center" wrapText="1"/>
      <protection hidden="1"/>
    </xf>
    <xf numFmtId="168" fontId="0" fillId="72" borderId="156" xfId="46" applyFont="1" applyFill="1" applyBorder="1" applyAlignment="1" applyProtection="1">
      <alignment horizontal="center" vertical="center"/>
      <protection locked="0"/>
    </xf>
    <xf numFmtId="168" fontId="0" fillId="72" borderId="157" xfId="46" applyFont="1" applyFill="1" applyBorder="1" applyAlignment="1" applyProtection="1">
      <alignment horizontal="center" vertical="center"/>
      <protection locked="0"/>
    </xf>
    <xf numFmtId="168" fontId="0" fillId="72" borderId="31" xfId="46" applyFont="1" applyFill="1" applyBorder="1" applyAlignment="1" applyProtection="1">
      <alignment horizontal="center" vertical="center"/>
      <protection locked="0"/>
    </xf>
    <xf numFmtId="168" fontId="0" fillId="72" borderId="35" xfId="46" applyFont="1" applyFill="1" applyBorder="1" applyAlignment="1" applyProtection="1">
      <alignment horizontal="center" vertical="center"/>
      <protection locked="0"/>
    </xf>
    <xf numFmtId="10" fontId="0" fillId="12" borderId="96" xfId="0" applyNumberFormat="1" applyFill="1" applyBorder="1" applyAlignment="1" applyProtection="1">
      <alignment horizontal="center" vertical="center"/>
      <protection hidden="1"/>
    </xf>
    <xf numFmtId="10" fontId="0" fillId="12" borderId="35" xfId="0" applyNumberFormat="1" applyFill="1" applyBorder="1" applyAlignment="1" applyProtection="1">
      <alignment horizontal="center" vertical="center"/>
      <protection hidden="1"/>
    </xf>
    <xf numFmtId="168" fontId="0" fillId="12" borderId="93" xfId="46" applyFont="1" applyFill="1" applyBorder="1" applyAlignment="1" applyProtection="1">
      <alignment horizontal="center" vertical="center"/>
      <protection hidden="1"/>
    </xf>
    <xf numFmtId="168" fontId="0" fillId="12" borderId="14" xfId="46" applyFont="1" applyFill="1" applyBorder="1" applyAlignment="1" applyProtection="1">
      <alignment horizontal="center" vertical="center"/>
      <protection hidden="1"/>
    </xf>
    <xf numFmtId="0" fontId="77" fillId="6" borderId="9" xfId="0" applyFont="1" applyFill="1" applyBorder="1" applyAlignment="1" applyProtection="1">
      <alignment horizontal="center" vertical="center"/>
      <protection hidden="1"/>
    </xf>
    <xf numFmtId="0" fontId="77" fillId="6" borderId="13" xfId="0" applyFont="1" applyFill="1" applyBorder="1" applyAlignment="1" applyProtection="1">
      <alignment horizontal="center" vertical="center"/>
      <protection hidden="1"/>
    </xf>
    <xf numFmtId="0" fontId="93" fillId="0" borderId="45" xfId="0" applyFont="1" applyBorder="1" applyAlignment="1" applyProtection="1">
      <alignment horizontal="center" vertical="center"/>
      <protection hidden="1"/>
    </xf>
    <xf numFmtId="0" fontId="93" fillId="0" borderId="0" xfId="0" applyFont="1" applyAlignment="1" applyProtection="1">
      <alignment horizontal="center" vertical="center"/>
      <protection hidden="1"/>
    </xf>
    <xf numFmtId="0" fontId="93" fillId="0" borderId="0" xfId="0" applyFont="1" applyAlignment="1" applyProtection="1">
      <alignment horizontal="center" vertical="center" wrapText="1"/>
      <protection hidden="1"/>
    </xf>
    <xf numFmtId="0" fontId="93" fillId="13" borderId="0" xfId="0" applyFont="1" applyFill="1" applyAlignment="1" applyProtection="1">
      <alignment horizontal="center" vertical="center" wrapText="1"/>
      <protection hidden="1"/>
    </xf>
    <xf numFmtId="0" fontId="58" fillId="13" borderId="0" xfId="0" applyFont="1" applyFill="1" applyAlignment="1" applyProtection="1">
      <alignment horizontal="center" vertical="center" wrapText="1"/>
      <protection hidden="1"/>
    </xf>
    <xf numFmtId="0" fontId="59" fillId="12" borderId="9" xfId="0" applyFont="1" applyFill="1" applyBorder="1" applyAlignment="1" applyProtection="1">
      <alignment horizontal="center" vertical="center"/>
      <protection hidden="1"/>
    </xf>
    <xf numFmtId="0" fontId="59" fillId="12" borderId="21" xfId="0" applyFont="1" applyFill="1" applyBorder="1" applyAlignment="1" applyProtection="1">
      <alignment horizontal="center" vertical="center"/>
      <protection hidden="1"/>
    </xf>
    <xf numFmtId="9" fontId="93" fillId="13" borderId="0" xfId="0" applyNumberFormat="1" applyFont="1" applyFill="1" applyAlignment="1" applyProtection="1">
      <alignment horizontal="center" vertical="center"/>
      <protection hidden="1"/>
    </xf>
    <xf numFmtId="180" fontId="0" fillId="9" borderId="4" xfId="26" applyNumberFormat="1" applyFont="1" applyFill="1" applyBorder="1" applyAlignment="1" applyProtection="1">
      <alignment horizontal="left" vertical="center" wrapText="1"/>
      <protection hidden="1"/>
    </xf>
    <xf numFmtId="0" fontId="58" fillId="0" borderId="0" xfId="0" applyFont="1" applyAlignment="1" applyProtection="1">
      <alignment horizontal="center" vertical="center" wrapText="1"/>
      <protection hidden="1"/>
    </xf>
    <xf numFmtId="0" fontId="59" fillId="6" borderId="9" xfId="0" applyFont="1" applyFill="1" applyBorder="1" applyAlignment="1" applyProtection="1">
      <alignment horizontal="center" vertical="center"/>
      <protection hidden="1"/>
    </xf>
    <xf numFmtId="0" fontId="59" fillId="6" borderId="21" xfId="0" applyFont="1" applyFill="1" applyBorder="1" applyAlignment="1" applyProtection="1">
      <alignment horizontal="center" vertical="center"/>
      <protection hidden="1"/>
    </xf>
    <xf numFmtId="9" fontId="93" fillId="0" borderId="0" xfId="0" applyNumberFormat="1" applyFont="1" applyAlignment="1" applyProtection="1">
      <alignment horizontal="center" vertical="center"/>
      <protection hidden="1"/>
    </xf>
    <xf numFmtId="168" fontId="0" fillId="72" borderId="94" xfId="46" applyFont="1" applyFill="1" applyBorder="1" applyAlignment="1" applyProtection="1">
      <alignment horizontal="center" vertical="center"/>
      <protection locked="0"/>
    </xf>
    <xf numFmtId="168" fontId="0" fillId="72" borderId="96" xfId="46" applyFont="1" applyFill="1" applyBorder="1" applyAlignment="1" applyProtection="1">
      <alignment horizontal="center" vertical="center"/>
      <protection locked="0"/>
    </xf>
    <xf numFmtId="10" fontId="0" fillId="6" borderId="93" xfId="0" applyNumberFormat="1" applyFill="1" applyBorder="1" applyAlignment="1" applyProtection="1">
      <alignment horizontal="center" vertical="center"/>
      <protection hidden="1"/>
    </xf>
    <xf numFmtId="10" fontId="0" fillId="6" borderId="14" xfId="0" applyNumberFormat="1" applyFill="1" applyBorder="1" applyAlignment="1" applyProtection="1">
      <alignment horizontal="center" vertical="center"/>
      <protection hidden="1"/>
    </xf>
    <xf numFmtId="168" fontId="0" fillId="6" borderId="93" xfId="46" applyFont="1" applyFill="1" applyBorder="1" applyAlignment="1" applyProtection="1">
      <alignment horizontal="center" vertical="center"/>
      <protection hidden="1"/>
    </xf>
    <xf numFmtId="168" fontId="0" fillId="6" borderId="14" xfId="46" applyFont="1" applyFill="1" applyBorder="1" applyAlignment="1" applyProtection="1">
      <alignment horizontal="center" vertical="center"/>
      <protection hidden="1"/>
    </xf>
    <xf numFmtId="0" fontId="59" fillId="46" borderId="4" xfId="0" applyFont="1" applyFill="1" applyBorder="1" applyAlignment="1" applyProtection="1">
      <alignment horizontal="center" vertical="center"/>
      <protection hidden="1"/>
    </xf>
    <xf numFmtId="0" fontId="77" fillId="46" borderId="4" xfId="0" applyFont="1" applyFill="1" applyBorder="1" applyAlignment="1" applyProtection="1">
      <alignment horizontal="center" vertical="center"/>
      <protection hidden="1"/>
    </xf>
    <xf numFmtId="0" fontId="0" fillId="0" borderId="4" xfId="0" applyBorder="1" applyAlignment="1" applyProtection="1">
      <alignment horizontal="justify" vertical="center" wrapText="1"/>
      <protection hidden="1"/>
    </xf>
    <xf numFmtId="0" fontId="59" fillId="25" borderId="4" xfId="0" applyFont="1" applyFill="1" applyBorder="1" applyAlignment="1" applyProtection="1">
      <alignment horizontal="center"/>
      <protection hidden="1"/>
    </xf>
    <xf numFmtId="0" fontId="59" fillId="25" borderId="9" xfId="0" applyFont="1" applyFill="1" applyBorder="1" applyAlignment="1" applyProtection="1">
      <alignment horizontal="center" vertical="center"/>
      <protection hidden="1"/>
    </xf>
    <xf numFmtId="0" fontId="59" fillId="25" borderId="13" xfId="0" applyFont="1" applyFill="1" applyBorder="1" applyAlignment="1" applyProtection="1">
      <alignment horizontal="center" vertical="center"/>
      <protection hidden="1"/>
    </xf>
    <xf numFmtId="0" fontId="59" fillId="25" borderId="21" xfId="0" applyFont="1" applyFill="1" applyBorder="1" applyAlignment="1" applyProtection="1">
      <alignment horizontal="center" vertical="center"/>
      <protection hidden="1"/>
    </xf>
    <xf numFmtId="0" fontId="59" fillId="25" borderId="4" xfId="0" applyFont="1" applyFill="1" applyBorder="1" applyAlignment="1" applyProtection="1">
      <alignment horizontal="center" vertical="top" wrapText="1"/>
      <protection hidden="1"/>
    </xf>
    <xf numFmtId="0" fontId="95" fillId="0" borderId="94" xfId="0" applyFont="1" applyBorder="1" applyAlignment="1" applyProtection="1">
      <alignment horizontal="left" vertical="top" wrapText="1"/>
      <protection hidden="1"/>
    </xf>
    <xf numFmtId="0" fontId="95" fillId="0" borderId="95" xfId="0" applyFont="1" applyBorder="1" applyAlignment="1" applyProtection="1">
      <alignment horizontal="left" vertical="top" wrapText="1"/>
      <protection hidden="1"/>
    </xf>
    <xf numFmtId="0" fontId="95" fillId="0" borderId="96" xfId="0" applyFont="1" applyBorder="1" applyAlignment="1" applyProtection="1">
      <alignment horizontal="left" vertical="top" wrapText="1"/>
      <protection hidden="1"/>
    </xf>
    <xf numFmtId="0" fontId="95" fillId="0" borderId="45" xfId="0" applyFont="1" applyBorder="1" applyAlignment="1" applyProtection="1">
      <alignment horizontal="left" vertical="top" wrapText="1"/>
      <protection hidden="1"/>
    </xf>
    <xf numFmtId="0" fontId="95" fillId="0" borderId="0" xfId="0" applyFont="1" applyAlignment="1" applyProtection="1">
      <alignment horizontal="left" vertical="top" wrapText="1"/>
      <protection hidden="1"/>
    </xf>
    <xf numFmtId="0" fontId="95" fillId="0" borderId="46" xfId="0" applyFont="1" applyBorder="1" applyAlignment="1" applyProtection="1">
      <alignment horizontal="left" vertical="top" wrapText="1"/>
      <protection hidden="1"/>
    </xf>
    <xf numFmtId="0" fontId="95" fillId="0" borderId="31" xfId="0" applyFont="1" applyBorder="1" applyAlignment="1" applyProtection="1">
      <alignment horizontal="left" vertical="top" wrapText="1"/>
      <protection hidden="1"/>
    </xf>
    <xf numFmtId="0" fontId="95" fillId="0" borderId="33" xfId="0" applyFont="1" applyBorder="1" applyAlignment="1" applyProtection="1">
      <alignment horizontal="left" vertical="top" wrapText="1"/>
      <protection hidden="1"/>
    </xf>
    <xf numFmtId="0" fontId="95" fillId="0" borderId="35" xfId="0" applyFont="1" applyBorder="1" applyAlignment="1" applyProtection="1">
      <alignment horizontal="left" vertical="top" wrapText="1"/>
      <protection hidden="1"/>
    </xf>
    <xf numFmtId="0" fontId="59" fillId="25" borderId="31" xfId="0" applyFont="1" applyFill="1" applyBorder="1" applyAlignment="1" applyProtection="1">
      <alignment horizontal="center"/>
      <protection hidden="1"/>
    </xf>
    <xf numFmtId="0" fontId="59" fillId="25" borderId="33" xfId="0" applyFont="1" applyFill="1" applyBorder="1" applyAlignment="1" applyProtection="1">
      <alignment horizontal="center"/>
      <protection hidden="1"/>
    </xf>
    <xf numFmtId="0" fontId="59" fillId="25" borderId="35" xfId="0" applyFont="1" applyFill="1" applyBorder="1" applyAlignment="1" applyProtection="1">
      <alignment horizontal="center"/>
      <protection hidden="1"/>
    </xf>
    <xf numFmtId="9" fontId="0" fillId="0" borderId="9" xfId="2" applyFont="1" applyFill="1" applyBorder="1" applyAlignment="1" applyProtection="1">
      <alignment horizontal="center"/>
      <protection locked="0"/>
    </xf>
    <xf numFmtId="9" fontId="0" fillId="0" borderId="21" xfId="2"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9" xfId="0" applyBorder="1" applyAlignment="1">
      <alignment horizontal="center"/>
    </xf>
    <xf numFmtId="0" fontId="0" fillId="0" borderId="21" xfId="0" applyBorder="1" applyAlignment="1">
      <alignment horizontal="center"/>
    </xf>
    <xf numFmtId="0" fontId="59" fillId="25" borderId="94" xfId="0" applyFont="1" applyFill="1" applyBorder="1" applyAlignment="1">
      <alignment horizontal="center" vertical="center"/>
    </xf>
    <xf numFmtId="0" fontId="59" fillId="25" borderId="95" xfId="0" applyFont="1" applyFill="1" applyBorder="1" applyAlignment="1">
      <alignment horizontal="center" vertical="center"/>
    </xf>
    <xf numFmtId="0" fontId="59" fillId="25" borderId="96" xfId="0" applyFont="1" applyFill="1" applyBorder="1" applyAlignment="1">
      <alignment horizontal="center" vertical="center"/>
    </xf>
    <xf numFmtId="0" fontId="59" fillId="25" borderId="9" xfId="0" applyFont="1" applyFill="1" applyBorder="1" applyAlignment="1">
      <alignment horizontal="center" vertical="center"/>
    </xf>
    <xf numFmtId="0" fontId="59" fillId="25" borderId="21" xfId="0" applyFont="1" applyFill="1" applyBorder="1" applyAlignment="1">
      <alignment horizontal="center" vertical="center"/>
    </xf>
    <xf numFmtId="9" fontId="0" fillId="0" borderId="4" xfId="2" applyFont="1" applyFill="1" applyBorder="1" applyAlignment="1" applyProtection="1">
      <alignment horizontal="center"/>
      <protection locked="0"/>
    </xf>
    <xf numFmtId="0" fontId="0" fillId="0" borderId="4" xfId="0" applyBorder="1" applyAlignment="1" applyProtection="1">
      <alignment horizontal="center"/>
      <protection locked="0"/>
    </xf>
    <xf numFmtId="0" fontId="93" fillId="25" borderId="9" xfId="0" applyFont="1" applyFill="1" applyBorder="1" applyAlignment="1" applyProtection="1">
      <alignment horizontal="center" vertical="center"/>
      <protection hidden="1"/>
    </xf>
    <xf numFmtId="0" fontId="93" fillId="25" borderId="21" xfId="0" applyFont="1" applyFill="1" applyBorder="1" applyAlignment="1" applyProtection="1">
      <alignment horizontal="center" vertical="center"/>
      <protection hidden="1"/>
    </xf>
    <xf numFmtId="182" fontId="0" fillId="0" borderId="9" xfId="17" applyNumberFormat="1" applyFont="1" applyBorder="1" applyAlignment="1" applyProtection="1">
      <alignment horizontal="justify" vertical="center"/>
      <protection locked="0"/>
    </xf>
    <xf numFmtId="182" fontId="0" fillId="0" borderId="21" xfId="17" applyNumberFormat="1" applyFont="1" applyBorder="1" applyAlignment="1" applyProtection="1">
      <alignment horizontal="justify" vertical="center"/>
      <protection locked="0"/>
    </xf>
    <xf numFmtId="0" fontId="174" fillId="0" borderId="9" xfId="0" applyFont="1" applyBorder="1" applyAlignment="1" applyProtection="1">
      <alignment horizontal="center" vertical="center"/>
      <protection locked="0"/>
    </xf>
    <xf numFmtId="0" fontId="174" fillId="0" borderId="21" xfId="0" applyFont="1" applyBorder="1" applyAlignment="1" applyProtection="1">
      <alignment horizontal="center" vertical="center"/>
      <protection locked="0"/>
    </xf>
    <xf numFmtId="184" fontId="0" fillId="9" borderId="4" xfId="0" applyNumberFormat="1" applyFill="1" applyBorder="1" applyAlignment="1" applyProtection="1">
      <alignment horizontal="center" vertical="center"/>
      <protection locked="0"/>
    </xf>
    <xf numFmtId="184" fontId="0" fillId="9" borderId="9" xfId="0" applyNumberFormat="1" applyFill="1" applyBorder="1" applyAlignment="1" applyProtection="1">
      <alignment horizontal="center" vertical="center"/>
      <protection locked="0"/>
    </xf>
    <xf numFmtId="184" fontId="59" fillId="0" borderId="4"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0" fontId="47" fillId="0" borderId="4" xfId="0" applyFont="1" applyBorder="1" applyAlignment="1">
      <alignment horizontal="left" vertical="center" wrapText="1"/>
    </xf>
    <xf numFmtId="0" fontId="14" fillId="0" borderId="167"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09" fillId="0" borderId="165" xfId="0" applyFont="1" applyBorder="1" applyAlignment="1" applyProtection="1">
      <alignment horizontal="center" vertical="center" wrapText="1"/>
      <protection hidden="1"/>
    </xf>
    <xf numFmtId="0" fontId="109" fillId="0" borderId="169" xfId="0" applyFont="1" applyBorder="1" applyAlignment="1" applyProtection="1">
      <alignment horizontal="center" vertical="center" wrapText="1"/>
      <protection hidden="1"/>
    </xf>
    <xf numFmtId="0" fontId="109" fillId="0" borderId="168" xfId="0" applyFont="1" applyBorder="1" applyAlignment="1" applyProtection="1">
      <alignment horizontal="center" vertical="center" wrapText="1"/>
      <protection hidden="1"/>
    </xf>
    <xf numFmtId="0" fontId="109" fillId="0" borderId="31" xfId="0" applyFont="1" applyBorder="1" applyAlignment="1" applyProtection="1">
      <alignment horizontal="center" vertical="center" wrapText="1"/>
      <protection hidden="1"/>
    </xf>
    <xf numFmtId="0" fontId="109" fillId="0" borderId="33" xfId="0" applyFont="1" applyBorder="1" applyAlignment="1" applyProtection="1">
      <alignment horizontal="center" vertical="center" wrapText="1"/>
      <protection hidden="1"/>
    </xf>
    <xf numFmtId="0" fontId="109" fillId="0" borderId="35" xfId="0" applyFont="1" applyBorder="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4" fillId="0" borderId="0" xfId="0" applyFont="1" applyAlignment="1">
      <alignment horizontal="center" vertical="center"/>
    </xf>
    <xf numFmtId="0" fontId="14" fillId="0" borderId="0" xfId="0" applyFont="1" applyAlignment="1" applyProtection="1">
      <alignment horizontal="center" vertical="center"/>
      <protection hidden="1"/>
    </xf>
    <xf numFmtId="0" fontId="73" fillId="0" borderId="165" xfId="0" applyFont="1" applyBorder="1" applyAlignment="1" applyProtection="1">
      <alignment horizontal="center" vertical="center" wrapText="1"/>
      <protection hidden="1"/>
    </xf>
    <xf numFmtId="0" fontId="73" fillId="0" borderId="169" xfId="0" applyFont="1" applyBorder="1" applyAlignment="1" applyProtection="1">
      <alignment horizontal="center" vertical="center" wrapText="1"/>
      <protection hidden="1"/>
    </xf>
    <xf numFmtId="0" fontId="73" fillId="0" borderId="168" xfId="0" applyFont="1" applyBorder="1" applyAlignment="1" applyProtection="1">
      <alignment horizontal="center" vertical="center" wrapText="1"/>
      <protection hidden="1"/>
    </xf>
    <xf numFmtId="0" fontId="73" fillId="0" borderId="31" xfId="0" applyFont="1" applyBorder="1" applyAlignment="1" applyProtection="1">
      <alignment horizontal="center" vertical="center" wrapText="1"/>
      <protection hidden="1"/>
    </xf>
    <xf numFmtId="0" fontId="73" fillId="0" borderId="33" xfId="0" applyFont="1" applyBorder="1" applyAlignment="1" applyProtection="1">
      <alignment horizontal="center" vertical="center" wrapText="1"/>
      <protection hidden="1"/>
    </xf>
    <xf numFmtId="0" fontId="73" fillId="0" borderId="35" xfId="0" applyFont="1" applyBorder="1" applyAlignment="1" applyProtection="1">
      <alignment horizontal="center" vertical="center" wrapText="1"/>
      <protection hidden="1"/>
    </xf>
    <xf numFmtId="0" fontId="156"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5" fillId="0" borderId="0" xfId="0" applyFont="1" applyAlignment="1" applyProtection="1">
      <alignment horizontal="left" vertical="center" wrapText="1"/>
      <protection hidden="1"/>
    </xf>
    <xf numFmtId="0" fontId="14" fillId="0" borderId="0" xfId="0" applyFont="1" applyAlignment="1" applyProtection="1">
      <alignment horizontal="center" vertical="center"/>
      <protection locked="0"/>
    </xf>
    <xf numFmtId="0" fontId="51" fillId="64" borderId="8" xfId="33" applyFont="1" applyFill="1" applyBorder="1" applyAlignment="1" applyProtection="1">
      <alignment horizontal="center" vertical="center" wrapText="1"/>
      <protection hidden="1"/>
    </xf>
    <xf numFmtId="0" fontId="51" fillId="64" borderId="133" xfId="33" applyFont="1" applyFill="1" applyBorder="1" applyAlignment="1" applyProtection="1">
      <alignment horizontal="center" vertical="center" wrapText="1"/>
      <protection hidden="1"/>
    </xf>
    <xf numFmtId="0" fontId="159" fillId="64" borderId="8" xfId="33" applyFont="1" applyFill="1" applyBorder="1" applyAlignment="1" applyProtection="1">
      <alignment horizontal="center" vertical="center" wrapText="1"/>
      <protection hidden="1"/>
    </xf>
    <xf numFmtId="0" fontId="159" fillId="64" borderId="133" xfId="33" applyFont="1" applyFill="1" applyBorder="1" applyAlignment="1" applyProtection="1">
      <alignment horizontal="center" vertical="center" wrapText="1"/>
      <protection hidden="1"/>
    </xf>
    <xf numFmtId="0" fontId="157" fillId="64" borderId="0" xfId="0" applyFont="1" applyFill="1" applyAlignment="1" applyProtection="1">
      <alignment horizontal="center" vertical="center"/>
      <protection hidden="1"/>
    </xf>
    <xf numFmtId="0" fontId="47" fillId="0" borderId="0" xfId="33" applyFont="1" applyFill="1" applyBorder="1" applyAlignment="1">
      <alignment horizontal="center" vertical="center" wrapText="1"/>
    </xf>
    <xf numFmtId="0" fontId="159" fillId="64" borderId="10" xfId="33" applyFont="1" applyFill="1" applyBorder="1" applyAlignment="1" applyProtection="1">
      <alignment horizontal="center" vertical="center" wrapText="1"/>
      <protection hidden="1"/>
    </xf>
    <xf numFmtId="0" fontId="159" fillId="64" borderId="11" xfId="33" applyFont="1" applyFill="1" applyBorder="1" applyAlignment="1" applyProtection="1">
      <alignment horizontal="center" vertical="center" wrapText="1"/>
      <protection hidden="1"/>
    </xf>
    <xf numFmtId="0" fontId="159" fillId="64" borderId="12" xfId="33" applyFont="1" applyFill="1" applyBorder="1" applyAlignment="1" applyProtection="1">
      <alignment horizontal="center" vertical="center" wrapText="1"/>
      <protection hidden="1"/>
    </xf>
    <xf numFmtId="0" fontId="51" fillId="64" borderId="48" xfId="33" applyFont="1" applyFill="1" applyBorder="1" applyAlignment="1" applyProtection="1">
      <alignment horizontal="center" vertical="center" wrapText="1"/>
      <protection hidden="1"/>
    </xf>
    <xf numFmtId="0" fontId="51" fillId="64" borderId="96" xfId="33" applyFont="1" applyFill="1" applyBorder="1" applyAlignment="1" applyProtection="1">
      <alignment horizontal="center" vertical="center" wrapText="1"/>
      <protection hidden="1"/>
    </xf>
    <xf numFmtId="0" fontId="51" fillId="64" borderId="11" xfId="33" applyFont="1" applyFill="1" applyBorder="1" applyAlignment="1" applyProtection="1">
      <alignment horizontal="center" vertical="center" wrapText="1"/>
      <protection hidden="1"/>
    </xf>
    <xf numFmtId="0" fontId="51" fillId="64" borderId="20" xfId="33" applyFont="1" applyFill="1" applyBorder="1" applyAlignment="1" applyProtection="1">
      <alignment horizontal="center" vertical="center" wrapText="1"/>
      <protection hidden="1"/>
    </xf>
    <xf numFmtId="0" fontId="14" fillId="0" borderId="22" xfId="0" applyFont="1" applyBorder="1" applyAlignment="1" applyProtection="1">
      <alignment horizontal="left" vertical="center" wrapText="1"/>
      <protection locked="0"/>
    </xf>
    <xf numFmtId="0" fontId="19" fillId="0" borderId="11" xfId="0" applyFont="1" applyBorder="1" applyAlignment="1" applyProtection="1">
      <alignment horizontal="center" vertical="center" wrapText="1"/>
      <protection hidden="1"/>
    </xf>
    <xf numFmtId="0" fontId="19" fillId="0" borderId="22" xfId="0" applyFont="1" applyBorder="1" applyAlignment="1" applyProtection="1">
      <alignment horizontal="center" vertical="center" wrapText="1"/>
      <protection hidden="1"/>
    </xf>
    <xf numFmtId="0" fontId="53" fillId="0" borderId="11" xfId="5" applyFont="1" applyBorder="1" applyAlignment="1" applyProtection="1">
      <alignment horizontal="center" vertical="center" wrapText="1"/>
      <protection hidden="1"/>
    </xf>
    <xf numFmtId="0" fontId="53" fillId="0" borderId="4" xfId="5" applyFont="1" applyBorder="1" applyAlignment="1" applyProtection="1">
      <alignment horizontal="center" vertical="center" wrapText="1"/>
      <protection hidden="1"/>
    </xf>
    <xf numFmtId="0" fontId="53" fillId="0" borderId="22" xfId="5" applyFont="1" applyBorder="1" applyAlignment="1" applyProtection="1">
      <alignment horizontal="center" vertical="center" wrapText="1"/>
      <protection hidden="1"/>
    </xf>
    <xf numFmtId="0" fontId="53" fillId="0" borderId="20" xfId="5" applyFont="1" applyBorder="1" applyAlignment="1" applyProtection="1">
      <alignment horizontal="justify" vertical="center" wrapText="1"/>
      <protection hidden="1"/>
    </xf>
    <xf numFmtId="0" fontId="53" fillId="0" borderId="14" xfId="5" applyFont="1" applyBorder="1" applyAlignment="1" applyProtection="1">
      <alignment horizontal="justify" vertical="center" wrapText="1"/>
      <protection hidden="1"/>
    </xf>
    <xf numFmtId="0" fontId="116" fillId="0" borderId="27" xfId="5" applyFont="1" applyBorder="1" applyAlignment="1">
      <alignment horizontal="left" vertical="center" wrapText="1"/>
    </xf>
    <xf numFmtId="0" fontId="116" fillId="0" borderId="132" xfId="5" applyFont="1" applyBorder="1" applyAlignment="1">
      <alignment horizontal="left" vertical="center" wrapText="1"/>
    </xf>
    <xf numFmtId="0" fontId="116" fillId="0" borderId="48" xfId="5" applyFont="1" applyBorder="1" applyAlignment="1">
      <alignment horizontal="left" vertical="center" wrapText="1"/>
    </xf>
    <xf numFmtId="0" fontId="116" fillId="0" borderId="95" xfId="5" applyFont="1" applyBorder="1" applyAlignment="1">
      <alignment horizontal="left" vertical="center" wrapText="1"/>
    </xf>
    <xf numFmtId="0" fontId="159" fillId="64" borderId="102" xfId="0" applyFont="1" applyFill="1" applyBorder="1" applyAlignment="1" applyProtection="1">
      <alignment horizontal="center" vertical="center"/>
      <protection locked="0"/>
    </xf>
    <xf numFmtId="0" fontId="159" fillId="64" borderId="0" xfId="0" applyFont="1" applyFill="1" applyAlignment="1" applyProtection="1">
      <alignment horizontal="center" vertical="center"/>
      <protection locked="0"/>
    </xf>
    <xf numFmtId="0" fontId="159" fillId="64" borderId="26" xfId="0" applyFont="1" applyFill="1" applyBorder="1" applyAlignment="1" applyProtection="1">
      <alignment horizontal="center" vertical="center"/>
      <protection locked="0"/>
    </xf>
    <xf numFmtId="0" fontId="51" fillId="64" borderId="127" xfId="0" applyFont="1" applyFill="1" applyBorder="1" applyAlignment="1">
      <alignment horizontal="center" vertical="center" wrapText="1"/>
    </xf>
    <xf numFmtId="0" fontId="51" fillId="64" borderId="6" xfId="0" applyFont="1" applyFill="1" applyBorder="1" applyAlignment="1">
      <alignment horizontal="center" vertical="center" wrapText="1"/>
    </xf>
    <xf numFmtId="0" fontId="25" fillId="0" borderId="0" xfId="0" applyFont="1" applyAlignment="1">
      <alignment horizontal="right" vertical="center"/>
    </xf>
    <xf numFmtId="0" fontId="25" fillId="0" borderId="26" xfId="0" applyFont="1" applyBorder="1" applyAlignment="1">
      <alignment horizontal="right" vertical="center"/>
    </xf>
    <xf numFmtId="0" fontId="14" fillId="0" borderId="0" xfId="0" applyFont="1" applyAlignment="1" applyProtection="1">
      <alignment horizontal="left" vertical="center" wrapText="1"/>
    </xf>
    <xf numFmtId="0" fontId="25" fillId="0" borderId="0" xfId="0" applyFont="1" applyAlignment="1" applyProtection="1">
      <alignment horizontal="left" vertical="center" wrapText="1"/>
    </xf>
    <xf numFmtId="0" fontId="160" fillId="64" borderId="33" xfId="0" applyFont="1" applyFill="1" applyBorder="1" applyAlignment="1">
      <alignment horizontal="center" vertical="center"/>
    </xf>
    <xf numFmtId="172" fontId="159" fillId="64" borderId="103" xfId="24" applyNumberFormat="1" applyFont="1" applyFill="1" applyBorder="1" applyAlignment="1" applyProtection="1">
      <alignment horizontal="center" vertical="center"/>
      <protection hidden="1"/>
    </xf>
    <xf numFmtId="172" fontId="159" fillId="64" borderId="2" xfId="24" applyNumberFormat="1" applyFont="1" applyFill="1" applyBorder="1" applyAlignment="1" applyProtection="1">
      <alignment horizontal="center" vertical="center"/>
      <protection hidden="1"/>
    </xf>
    <xf numFmtId="0" fontId="19" fillId="0" borderId="0" xfId="0" applyFont="1" applyAlignment="1" applyProtection="1">
      <alignment horizontal="right" vertical="center" wrapText="1"/>
      <protection hidden="1"/>
    </xf>
    <xf numFmtId="0" fontId="22" fillId="0" borderId="54" xfId="0" applyFont="1" applyBorder="1" applyAlignment="1" applyProtection="1">
      <alignment horizontal="center" vertical="center"/>
      <protection hidden="1"/>
    </xf>
    <xf numFmtId="0" fontId="162" fillId="64" borderId="9" xfId="16" applyFont="1" applyFill="1" applyBorder="1" applyAlignment="1" applyProtection="1">
      <alignment horizontal="center" vertical="center" wrapText="1"/>
      <protection hidden="1"/>
    </xf>
    <xf numFmtId="0" fontId="162" fillId="64" borderId="13" xfId="16" applyFont="1" applyFill="1" applyBorder="1" applyAlignment="1" applyProtection="1">
      <alignment horizontal="center" vertical="center" wrapText="1"/>
      <protection hidden="1"/>
    </xf>
    <xf numFmtId="0" fontId="162" fillId="64" borderId="21" xfId="16" applyFont="1" applyFill="1" applyBorder="1" applyAlignment="1" applyProtection="1">
      <alignment horizontal="center" vertical="center" wrapText="1"/>
      <protection hidden="1"/>
    </xf>
    <xf numFmtId="185" fontId="35" fillId="46" borderId="108" xfId="18" applyNumberFormat="1" applyFont="1" applyFill="1" applyBorder="1" applyAlignment="1" applyProtection="1">
      <alignment horizontal="center" vertical="center" wrapText="1"/>
      <protection hidden="1"/>
    </xf>
    <xf numFmtId="185" fontId="35" fillId="46" borderId="110" xfId="18" applyNumberFormat="1" applyFont="1" applyFill="1" applyBorder="1" applyAlignment="1" applyProtection="1">
      <alignment horizontal="center" vertical="center" wrapText="1"/>
      <protection hidden="1"/>
    </xf>
    <xf numFmtId="9" fontId="25" fillId="33" borderId="9" xfId="2" applyFont="1" applyFill="1" applyBorder="1" applyAlignment="1" applyProtection="1">
      <alignment horizontal="center" vertical="center" wrapText="1"/>
      <protection hidden="1"/>
    </xf>
    <xf numFmtId="9" fontId="25" fillId="33" borderId="21" xfId="2" applyFont="1" applyFill="1" applyBorder="1" applyAlignment="1" applyProtection="1">
      <alignment horizontal="center" vertical="center" wrapText="1"/>
      <protection hidden="1"/>
    </xf>
    <xf numFmtId="175" fontId="25" fillId="67" borderId="158" xfId="2" applyNumberFormat="1" applyFont="1" applyFill="1" applyBorder="1" applyAlignment="1" applyProtection="1">
      <alignment horizontal="left" vertical="center" wrapText="1"/>
      <protection hidden="1"/>
    </xf>
    <xf numFmtId="175" fontId="25" fillId="67" borderId="14" xfId="2" applyNumberFormat="1" applyFont="1" applyFill="1" applyBorder="1" applyAlignment="1" applyProtection="1">
      <alignment horizontal="left" vertical="center" wrapText="1"/>
      <protection hidden="1"/>
    </xf>
    <xf numFmtId="175" fontId="25" fillId="9" borderId="4" xfId="2" applyNumberFormat="1" applyFont="1" applyFill="1" applyBorder="1" applyAlignment="1" applyProtection="1">
      <alignment horizontal="center" vertical="center" wrapText="1"/>
      <protection hidden="1"/>
    </xf>
    <xf numFmtId="0" fontId="74" fillId="46" borderId="106" xfId="0" applyFont="1" applyFill="1" applyBorder="1" applyAlignment="1" applyProtection="1">
      <alignment horizontal="center" vertical="center" wrapText="1"/>
      <protection hidden="1"/>
    </xf>
    <xf numFmtId="0" fontId="74" fillId="46" borderId="110" xfId="0" applyFont="1" applyFill="1" applyBorder="1" applyAlignment="1" applyProtection="1">
      <alignment horizontal="center" vertical="center" wrapText="1"/>
      <protection hidden="1"/>
    </xf>
    <xf numFmtId="0" fontId="35" fillId="46" borderId="104" xfId="0" applyFont="1" applyFill="1" applyBorder="1" applyAlignment="1" applyProtection="1">
      <alignment horizontal="center" vertical="center" wrapText="1"/>
      <protection hidden="1"/>
    </xf>
    <xf numFmtId="0" fontId="35" fillId="46" borderId="155" xfId="0" applyFont="1" applyFill="1" applyBorder="1" applyAlignment="1" applyProtection="1">
      <alignment horizontal="center" vertical="center" wrapText="1"/>
      <protection hidden="1"/>
    </xf>
    <xf numFmtId="0" fontId="19" fillId="9" borderId="4" xfId="0" applyFont="1" applyFill="1" applyBorder="1" applyAlignment="1" applyProtection="1">
      <alignment horizontal="center" vertical="center"/>
      <protection hidden="1"/>
    </xf>
    <xf numFmtId="9" fontId="25" fillId="33" borderId="4" xfId="2" applyFont="1" applyFill="1" applyBorder="1" applyAlignment="1" applyProtection="1">
      <alignment horizontal="center" vertical="center" wrapText="1"/>
      <protection hidden="1"/>
    </xf>
    <xf numFmtId="2" fontId="35" fillId="46" borderId="108" xfId="0" applyNumberFormat="1" applyFont="1" applyFill="1" applyBorder="1" applyAlignment="1" applyProtection="1">
      <alignment horizontal="center" vertical="center" wrapText="1"/>
      <protection hidden="1"/>
    </xf>
    <xf numFmtId="2" fontId="35" fillId="46" borderId="110" xfId="0" applyNumberFormat="1" applyFont="1" applyFill="1" applyBorder="1" applyAlignment="1" applyProtection="1">
      <alignment horizontal="center" vertical="center" wrapText="1"/>
      <protection hidden="1"/>
    </xf>
    <xf numFmtId="184" fontId="14" fillId="9" borderId="9" xfId="0" applyNumberFormat="1" applyFont="1" applyFill="1" applyBorder="1" applyAlignment="1" applyProtection="1">
      <alignment horizontal="center" vertical="center"/>
      <protection locked="0"/>
    </xf>
    <xf numFmtId="184" fontId="14" fillId="9" borderId="21" xfId="0" applyNumberFormat="1" applyFont="1" applyFill="1" applyBorder="1" applyAlignment="1" applyProtection="1">
      <alignment horizontal="center" vertical="center"/>
      <protection locked="0"/>
    </xf>
    <xf numFmtId="2" fontId="74" fillId="46" borderId="108" xfId="0" applyNumberFormat="1" applyFont="1" applyFill="1" applyBorder="1" applyAlignment="1" applyProtection="1">
      <alignment horizontal="center" vertical="center" wrapText="1"/>
      <protection hidden="1"/>
    </xf>
    <xf numFmtId="2" fontId="74" fillId="46" borderId="110" xfId="0" applyNumberFormat="1" applyFont="1" applyFill="1" applyBorder="1" applyAlignment="1" applyProtection="1">
      <alignment horizontal="center" vertical="center" wrapText="1"/>
      <protection hidden="1"/>
    </xf>
    <xf numFmtId="0" fontId="35" fillId="46" borderId="107" xfId="0" applyFont="1" applyFill="1" applyBorder="1" applyAlignment="1" applyProtection="1">
      <alignment horizontal="center" vertical="center" wrapText="1"/>
      <protection hidden="1"/>
    </xf>
    <xf numFmtId="0" fontId="35" fillId="46" borderId="109" xfId="0" applyFont="1" applyFill="1" applyBorder="1" applyAlignment="1" applyProtection="1">
      <alignment horizontal="center" vertical="center" wrapText="1"/>
      <protection hidden="1"/>
    </xf>
    <xf numFmtId="0" fontId="25" fillId="0" borderId="9" xfId="0" applyFont="1" applyBorder="1" applyAlignment="1" applyProtection="1">
      <alignment horizontal="center" vertical="center"/>
      <protection locked="0"/>
    </xf>
    <xf numFmtId="0" fontId="25" fillId="0" borderId="13" xfId="0" applyFont="1" applyBorder="1" applyAlignment="1" applyProtection="1">
      <alignment horizontal="center" vertical="center"/>
      <protection locked="0"/>
    </xf>
    <xf numFmtId="0" fontId="19" fillId="46" borderId="4" xfId="0" applyFont="1" applyFill="1" applyBorder="1" applyAlignment="1">
      <alignment horizontal="center" vertical="center" wrapText="1"/>
    </xf>
    <xf numFmtId="0" fontId="19" fillId="20" borderId="4" xfId="0" applyFont="1" applyFill="1" applyBorder="1" applyAlignment="1">
      <alignment horizontal="center" vertical="center" wrapText="1"/>
    </xf>
    <xf numFmtId="175" fontId="25" fillId="67" borderId="4" xfId="2" applyNumberFormat="1" applyFont="1" applyFill="1" applyBorder="1" applyAlignment="1" applyProtection="1">
      <alignment horizontal="center" vertical="center" wrapText="1"/>
      <protection hidden="1"/>
    </xf>
    <xf numFmtId="175" fontId="25" fillId="67" borderId="4" xfId="2" applyNumberFormat="1" applyFont="1" applyFill="1" applyBorder="1" applyAlignment="1" applyProtection="1">
      <alignment horizontal="left" vertical="center" wrapText="1"/>
      <protection hidden="1"/>
    </xf>
    <xf numFmtId="175" fontId="25" fillId="67" borderId="24" xfId="2" applyNumberFormat="1" applyFont="1" applyFill="1" applyBorder="1" applyAlignment="1" applyProtection="1">
      <alignment horizontal="left" vertical="center" wrapText="1"/>
      <protection hidden="1"/>
    </xf>
    <xf numFmtId="175" fontId="25" fillId="67" borderId="156" xfId="2" applyNumberFormat="1" applyFont="1" applyFill="1" applyBorder="1" applyAlignment="1" applyProtection="1">
      <alignment horizontal="center" vertical="center" wrapText="1"/>
      <protection hidden="1"/>
    </xf>
    <xf numFmtId="175" fontId="25" fillId="67" borderId="157" xfId="2" applyNumberFormat="1" applyFont="1" applyFill="1" applyBorder="1" applyAlignment="1" applyProtection="1">
      <alignment horizontal="center" vertical="center" wrapText="1"/>
      <protection hidden="1"/>
    </xf>
    <xf numFmtId="175" fontId="25" fillId="67" borderId="45" xfId="2" applyNumberFormat="1" applyFont="1" applyFill="1" applyBorder="1" applyAlignment="1" applyProtection="1">
      <alignment horizontal="center" vertical="center" wrapText="1"/>
      <protection hidden="1"/>
    </xf>
    <xf numFmtId="175" fontId="25" fillId="67" borderId="46" xfId="2" applyNumberFormat="1" applyFont="1" applyFill="1" applyBorder="1" applyAlignment="1" applyProtection="1">
      <alignment horizontal="center" vertical="center" wrapText="1"/>
      <protection hidden="1"/>
    </xf>
    <xf numFmtId="175" fontId="25" fillId="67" borderId="31" xfId="2" applyNumberFormat="1" applyFont="1" applyFill="1" applyBorder="1" applyAlignment="1" applyProtection="1">
      <alignment horizontal="center" vertical="center" wrapText="1"/>
      <protection hidden="1"/>
    </xf>
    <xf numFmtId="175" fontId="25" fillId="67" borderId="35" xfId="2" applyNumberFormat="1" applyFont="1" applyFill="1" applyBorder="1" applyAlignment="1" applyProtection="1">
      <alignment horizontal="center" vertical="center" wrapText="1"/>
      <protection hidden="1"/>
    </xf>
    <xf numFmtId="175" fontId="25" fillId="67" borderId="156" xfId="2" applyNumberFormat="1" applyFont="1" applyFill="1" applyBorder="1" applyAlignment="1" applyProtection="1">
      <alignment horizontal="left" vertical="center" wrapText="1"/>
      <protection hidden="1"/>
    </xf>
    <xf numFmtId="175" fontId="25" fillId="67" borderId="159" xfId="2" applyNumberFormat="1" applyFont="1" applyFill="1" applyBorder="1" applyAlignment="1" applyProtection="1">
      <alignment horizontal="left" vertical="center" wrapText="1"/>
      <protection hidden="1"/>
    </xf>
    <xf numFmtId="0" fontId="35" fillId="46" borderId="105" xfId="0" applyFont="1" applyFill="1" applyBorder="1" applyAlignment="1" applyProtection="1">
      <alignment horizontal="center" vertical="center" wrapText="1"/>
      <protection hidden="1"/>
    </xf>
    <xf numFmtId="0" fontId="14" fillId="0" borderId="158" xfId="0" applyFont="1" applyBorder="1" applyAlignment="1" applyProtection="1">
      <alignment horizontal="center" vertical="center"/>
      <protection hidden="1"/>
    </xf>
    <xf numFmtId="0" fontId="47" fillId="0" borderId="4" xfId="0" applyFont="1" applyBorder="1" applyAlignment="1">
      <alignment horizontal="center" vertical="center" wrapText="1"/>
    </xf>
    <xf numFmtId="0" fontId="12" fillId="9" borderId="0" xfId="0" applyFont="1" applyFill="1" applyAlignment="1">
      <alignment horizontal="center" vertical="center"/>
    </xf>
    <xf numFmtId="0" fontId="11" fillId="13" borderId="0" xfId="16" applyFont="1" applyFill="1" applyBorder="1" applyAlignment="1" applyProtection="1">
      <alignment horizontal="center" vertical="center" wrapText="1"/>
      <protection hidden="1"/>
    </xf>
    <xf numFmtId="41" fontId="47" fillId="9" borderId="4" xfId="0" applyNumberFormat="1" applyFont="1" applyFill="1" applyBorder="1" applyAlignment="1" applyProtection="1">
      <alignment horizontal="left" vertical="center" wrapText="1"/>
      <protection hidden="1"/>
    </xf>
    <xf numFmtId="14" fontId="47" fillId="9" borderId="4" xfId="0" applyNumberFormat="1" applyFont="1" applyFill="1" applyBorder="1" applyAlignment="1" applyProtection="1">
      <alignment horizontal="left" vertical="center" wrapText="1"/>
      <protection hidden="1"/>
    </xf>
    <xf numFmtId="14" fontId="47" fillId="9" borderId="4" xfId="0" applyNumberFormat="1" applyFont="1" applyFill="1" applyBorder="1" applyAlignment="1" applyProtection="1">
      <alignment horizontal="justify"/>
      <protection hidden="1"/>
    </xf>
    <xf numFmtId="0" fontId="109" fillId="5" borderId="4" xfId="5" applyFont="1" applyFill="1" applyBorder="1" applyAlignment="1" applyProtection="1">
      <alignment horizontal="center" vertical="center" wrapText="1"/>
      <protection hidden="1"/>
    </xf>
    <xf numFmtId="14" fontId="28" fillId="20" borderId="160" xfId="0" applyNumberFormat="1" applyFont="1" applyFill="1" applyBorder="1" applyAlignment="1" applyProtection="1">
      <alignment horizontal="center" vertical="center" wrapText="1"/>
      <protection locked="0"/>
    </xf>
    <xf numFmtId="14" fontId="28" fillId="20" borderId="161" xfId="0" applyNumberFormat="1" applyFont="1" applyFill="1" applyBorder="1" applyAlignment="1" applyProtection="1">
      <alignment horizontal="center" vertical="center" wrapText="1"/>
      <protection locked="0"/>
    </xf>
    <xf numFmtId="0" fontId="19" fillId="9" borderId="9" xfId="0" applyFont="1" applyFill="1" applyBorder="1" applyAlignment="1" applyProtection="1">
      <alignment horizontal="center" vertical="center"/>
      <protection hidden="1"/>
    </xf>
    <xf numFmtId="0" fontId="19" fillId="9" borderId="13" xfId="0" applyFont="1" applyFill="1" applyBorder="1" applyAlignment="1" applyProtection="1">
      <alignment horizontal="center" vertical="center"/>
      <protection hidden="1"/>
    </xf>
    <xf numFmtId="0" fontId="19" fillId="9" borderId="21" xfId="0" applyFont="1" applyFill="1" applyBorder="1" applyAlignment="1" applyProtection="1">
      <alignment horizontal="center" vertical="center"/>
      <protection hidden="1"/>
    </xf>
    <xf numFmtId="0" fontId="22" fillId="0" borderId="144" xfId="0" applyFont="1" applyBorder="1" applyAlignment="1" applyProtection="1">
      <alignment horizontal="center" vertical="center" wrapText="1"/>
      <protection locked="0"/>
    </xf>
    <xf numFmtId="0" fontId="22" fillId="0" borderId="45" xfId="0" applyFont="1" applyBorder="1" applyAlignment="1" applyProtection="1">
      <alignment horizontal="center" vertical="center" wrapText="1"/>
      <protection locked="0"/>
    </xf>
    <xf numFmtId="0" fontId="22" fillId="0" borderId="31"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8" fillId="55" borderId="4" xfId="9" applyFont="1" applyFill="1" applyBorder="1" applyAlignment="1" applyProtection="1">
      <alignment horizontal="center" vertical="center" wrapText="1"/>
      <protection hidden="1"/>
    </xf>
    <xf numFmtId="0" fontId="28" fillId="55" borderId="63" xfId="9" applyFont="1" applyFill="1" applyBorder="1" applyAlignment="1" applyProtection="1">
      <alignment horizontal="center" vertical="center" wrapText="1"/>
      <protection hidden="1"/>
    </xf>
    <xf numFmtId="0" fontId="29" fillId="53" borderId="4" xfId="6" applyNumberFormat="1" applyFont="1" applyFill="1" applyBorder="1" applyAlignment="1">
      <alignment horizontal="center" vertical="center"/>
    </xf>
    <xf numFmtId="0" fontId="29" fillId="53" borderId="63" xfId="6" applyNumberFormat="1" applyFont="1" applyFill="1" applyBorder="1" applyAlignment="1">
      <alignment horizontal="center" vertical="center"/>
    </xf>
    <xf numFmtId="0" fontId="29" fillId="53" borderId="9" xfId="6" applyNumberFormat="1" applyFont="1" applyFill="1" applyBorder="1" applyAlignment="1">
      <alignment horizontal="center" vertical="center"/>
    </xf>
    <xf numFmtId="0" fontId="29" fillId="53" borderId="152" xfId="6" applyNumberFormat="1" applyFont="1" applyFill="1" applyBorder="1" applyAlignment="1">
      <alignment horizontal="center" vertical="center"/>
    </xf>
    <xf numFmtId="0" fontId="77" fillId="53" borderId="99" xfId="5" applyFont="1" applyFill="1" applyBorder="1" applyAlignment="1">
      <alignment horizontal="center" vertical="center" wrapText="1"/>
    </xf>
    <xf numFmtId="0" fontId="77" fillId="53" borderId="101" xfId="5" applyFont="1" applyFill="1" applyBorder="1" applyAlignment="1">
      <alignment horizontal="center" vertical="center" wrapText="1"/>
    </xf>
    <xf numFmtId="0" fontId="77" fillId="53" borderId="102" xfId="5" applyFont="1" applyFill="1" applyBorder="1" applyAlignment="1">
      <alignment horizontal="center" vertical="center" wrapText="1"/>
    </xf>
    <xf numFmtId="0" fontId="77" fillId="53" borderId="26" xfId="5" applyFont="1" applyFill="1" applyBorder="1" applyAlignment="1">
      <alignment horizontal="center" vertical="center" wrapText="1"/>
    </xf>
    <xf numFmtId="0" fontId="149" fillId="54" borderId="97" xfId="5" applyFont="1" applyFill="1" applyBorder="1" applyAlignment="1">
      <alignment horizontal="center" vertical="center"/>
    </xf>
    <xf numFmtId="0" fontId="149" fillId="54" borderId="98" xfId="5" applyFont="1" applyFill="1" applyBorder="1" applyAlignment="1">
      <alignment horizontal="center" vertical="center"/>
    </xf>
    <xf numFmtId="0" fontId="149" fillId="54" borderId="5" xfId="5" applyFont="1" applyFill="1" applyBorder="1" applyAlignment="1">
      <alignment horizontal="center" vertical="center"/>
    </xf>
    <xf numFmtId="0" fontId="10" fillId="55" borderId="149" xfId="9" applyFont="1" applyFill="1" applyBorder="1" applyAlignment="1">
      <alignment horizontal="center" vertical="center"/>
    </xf>
    <xf numFmtId="0" fontId="10" fillId="55" borderId="150" xfId="9" applyFont="1" applyFill="1" applyBorder="1" applyAlignment="1">
      <alignment horizontal="center" vertical="center"/>
    </xf>
    <xf numFmtId="0" fontId="10" fillId="55" borderId="151" xfId="9" applyFont="1" applyFill="1" applyBorder="1" applyAlignment="1">
      <alignment horizontal="center" vertical="center"/>
    </xf>
    <xf numFmtId="0" fontId="0" fillId="0" borderId="167" xfId="0" applyBorder="1" applyAlignment="1">
      <alignment horizontal="center" vertical="center"/>
    </xf>
    <xf numFmtId="0" fontId="0" fillId="0" borderId="14" xfId="0" applyBorder="1" applyAlignment="1">
      <alignment horizontal="center" vertical="center"/>
    </xf>
    <xf numFmtId="0" fontId="47" fillId="0" borderId="9" xfId="0" applyFont="1" applyBorder="1" applyAlignment="1" applyProtection="1">
      <alignment horizontal="left" vertical="center" wrapText="1"/>
      <protection locked="0" hidden="1"/>
    </xf>
    <xf numFmtId="0" fontId="47" fillId="0" borderId="21" xfId="0" applyFont="1" applyBorder="1" applyAlignment="1" applyProtection="1">
      <alignment horizontal="left" vertical="center" wrapText="1"/>
      <protection locked="0" hidden="1"/>
    </xf>
    <xf numFmtId="0" fontId="47" fillId="0" borderId="9" xfId="0" applyFont="1" applyBorder="1" applyAlignment="1" applyProtection="1">
      <alignment horizontal="left" vertical="center"/>
      <protection hidden="1"/>
    </xf>
    <xf numFmtId="0" fontId="47" fillId="0" borderId="21" xfId="0" applyFont="1" applyBorder="1" applyAlignment="1" applyProtection="1">
      <alignment horizontal="left" vertical="center"/>
      <protection hidden="1"/>
    </xf>
    <xf numFmtId="0" fontId="149" fillId="54" borderId="14" xfId="5" applyFont="1" applyFill="1" applyBorder="1" applyAlignment="1">
      <alignment horizontal="center"/>
    </xf>
    <xf numFmtId="0" fontId="14" fillId="0" borderId="33" xfId="0" applyFont="1" applyBorder="1" applyAlignment="1">
      <alignment horizontal="left" vertical="center"/>
    </xf>
    <xf numFmtId="41" fontId="14" fillId="0" borderId="13" xfId="0" applyNumberFormat="1" applyFont="1" applyBorder="1" applyAlignment="1">
      <alignment horizontal="left" vertical="center" wrapText="1"/>
    </xf>
    <xf numFmtId="0" fontId="14" fillId="0" borderId="13" xfId="0" applyFont="1" applyBorder="1" applyAlignment="1">
      <alignment horizontal="left" vertical="center" wrapText="1"/>
    </xf>
    <xf numFmtId="0" fontId="14" fillId="0" borderId="13" xfId="0" applyFont="1" applyBorder="1" applyAlignment="1">
      <alignment horizontal="left" vertical="center"/>
    </xf>
    <xf numFmtId="14" fontId="14" fillId="0" borderId="13" xfId="0" applyNumberFormat="1" applyFont="1" applyBorder="1" applyAlignment="1">
      <alignment horizontal="left" vertical="center"/>
    </xf>
    <xf numFmtId="0" fontId="30" fillId="0" borderId="72" xfId="0" applyFont="1" applyBorder="1" applyAlignment="1" applyProtection="1">
      <alignment horizontal="center" vertical="center" wrapText="1"/>
      <protection hidden="1"/>
    </xf>
    <xf numFmtId="0" fontId="30" fillId="0" borderId="58" xfId="0" applyFont="1" applyBorder="1" applyAlignment="1" applyProtection="1">
      <alignment horizontal="center" vertical="center" wrapText="1"/>
      <protection hidden="1"/>
    </xf>
    <xf numFmtId="0" fontId="56" fillId="0" borderId="78" xfId="0" applyFont="1" applyBorder="1" applyAlignment="1" applyProtection="1">
      <alignment horizontal="left" vertical="center"/>
      <protection locked="0"/>
    </xf>
    <xf numFmtId="0" fontId="56" fillId="0" borderId="21" xfId="0" applyFont="1" applyBorder="1" applyAlignment="1" applyProtection="1">
      <alignment horizontal="left" vertical="center"/>
      <protection locked="0"/>
    </xf>
    <xf numFmtId="0" fontId="30" fillId="36" borderId="59" xfId="0" applyFont="1" applyFill="1" applyBorder="1" applyAlignment="1" applyProtection="1">
      <alignment horizontal="center" vertical="center" wrapText="1"/>
      <protection hidden="1"/>
    </xf>
    <xf numFmtId="0" fontId="30" fillId="36" borderId="60" xfId="0" applyFont="1" applyFill="1" applyBorder="1" applyAlignment="1" applyProtection="1">
      <alignment horizontal="center" vertical="center" wrapText="1"/>
      <protection hidden="1"/>
    </xf>
    <xf numFmtId="0" fontId="32" fillId="0" borderId="62"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32" fillId="0" borderId="75" xfId="0" applyFont="1" applyBorder="1" applyAlignment="1" applyProtection="1">
      <alignment horizontal="center" vertical="center" wrapText="1"/>
      <protection hidden="1"/>
    </xf>
    <xf numFmtId="0" fontId="32" fillId="0" borderId="20" xfId="0" applyFont="1" applyBorder="1" applyAlignment="1" applyProtection="1">
      <alignment horizontal="center" vertical="center" wrapText="1"/>
      <protection hidden="1"/>
    </xf>
    <xf numFmtId="0" fontId="25" fillId="0" borderId="81" xfId="0" applyFont="1" applyBorder="1" applyAlignment="1" applyProtection="1">
      <alignment horizontal="center" vertical="center"/>
      <protection hidden="1"/>
    </xf>
    <xf numFmtId="0" fontId="25" fillId="0" borderId="82" xfId="0" applyFont="1" applyBorder="1" applyAlignment="1" applyProtection="1">
      <alignment horizontal="center" vertical="center"/>
      <protection hidden="1"/>
    </xf>
    <xf numFmtId="0" fontId="25" fillId="35" borderId="79" xfId="0" applyFont="1" applyFill="1" applyBorder="1" applyAlignment="1">
      <alignment horizontal="center" vertical="center" wrapText="1"/>
    </xf>
    <xf numFmtId="0" fontId="25" fillId="35" borderId="84" xfId="0" applyFont="1" applyFill="1" applyBorder="1" applyAlignment="1">
      <alignment horizontal="center" vertical="center" wrapText="1"/>
    </xf>
    <xf numFmtId="0" fontId="25" fillId="35" borderId="80" xfId="0" applyFont="1" applyFill="1" applyBorder="1" applyAlignment="1">
      <alignment horizontal="center" vertical="center" wrapText="1"/>
    </xf>
    <xf numFmtId="0" fontId="25" fillId="35" borderId="35" xfId="0" applyFont="1" applyFill="1" applyBorder="1" applyAlignment="1">
      <alignment horizontal="center" vertical="center" wrapText="1"/>
    </xf>
    <xf numFmtId="0" fontId="25" fillId="13" borderId="10" xfId="0" applyFont="1" applyFill="1" applyBorder="1" applyAlignment="1" applyProtection="1">
      <alignment vertical="top"/>
      <protection locked="0"/>
    </xf>
    <xf numFmtId="0" fontId="25" fillId="13" borderId="11" xfId="0" applyFont="1" applyFill="1" applyBorder="1" applyAlignment="1" applyProtection="1">
      <alignment vertical="top"/>
      <protection locked="0"/>
    </xf>
    <xf numFmtId="0" fontId="14" fillId="13" borderId="25" xfId="0" applyFont="1" applyFill="1" applyBorder="1" applyAlignment="1" applyProtection="1">
      <alignment horizontal="left" vertical="top"/>
      <protection locked="0"/>
    </xf>
    <xf numFmtId="0" fontId="14" fillId="13" borderId="22" xfId="0" applyFont="1" applyFill="1" applyBorder="1" applyAlignment="1" applyProtection="1">
      <alignment horizontal="left" vertical="top"/>
      <protection locked="0"/>
    </xf>
    <xf numFmtId="0" fontId="25" fillId="13" borderId="27" xfId="0" applyFont="1" applyFill="1" applyBorder="1" applyAlignment="1" applyProtection="1">
      <alignment horizontal="left" vertical="top"/>
      <protection locked="0"/>
    </xf>
    <xf numFmtId="0" fontId="25" fillId="13" borderId="87" xfId="0" applyFont="1" applyFill="1" applyBorder="1" applyAlignment="1" applyProtection="1">
      <alignment horizontal="left" vertical="top"/>
      <protection locked="0"/>
    </xf>
    <xf numFmtId="0" fontId="14" fillId="13" borderId="32" xfId="0" applyFont="1" applyFill="1" applyBorder="1" applyAlignment="1" applyProtection="1">
      <alignment horizontal="left" vertical="top"/>
      <protection locked="0"/>
    </xf>
    <xf numFmtId="0" fontId="14" fillId="13" borderId="50" xfId="0" applyFont="1" applyFill="1" applyBorder="1" applyAlignment="1" applyProtection="1">
      <alignment horizontal="left" vertical="top"/>
      <protection locked="0"/>
    </xf>
    <xf numFmtId="0" fontId="25" fillId="13" borderId="10" xfId="0" applyFont="1" applyFill="1" applyBorder="1" applyAlignment="1" applyProtection="1">
      <alignment horizontal="left" vertical="top"/>
      <protection locked="0"/>
    </xf>
    <xf numFmtId="0" fontId="25" fillId="13" borderId="11" xfId="0" applyFont="1" applyFill="1" applyBorder="1" applyAlignment="1" applyProtection="1">
      <alignment horizontal="left" vertical="top"/>
      <protection locked="0"/>
    </xf>
    <xf numFmtId="0" fontId="14" fillId="13" borderId="16" xfId="0" applyFont="1" applyFill="1" applyBorder="1" applyAlignment="1" applyProtection="1">
      <alignment horizontal="left" vertical="top"/>
      <protection locked="0"/>
    </xf>
    <xf numFmtId="0" fontId="14" fillId="13" borderId="4" xfId="0" applyFont="1" applyFill="1" applyBorder="1" applyAlignment="1" applyProtection="1">
      <alignment horizontal="left" vertical="top"/>
      <protection locked="0"/>
    </xf>
    <xf numFmtId="0" fontId="14" fillId="13" borderId="16" xfId="0" applyFont="1" applyFill="1" applyBorder="1" applyAlignment="1" applyProtection="1">
      <alignment horizontal="left"/>
      <protection locked="0"/>
    </xf>
    <xf numFmtId="0" fontId="14" fillId="13" borderId="4" xfId="0" applyFont="1" applyFill="1" applyBorder="1" applyAlignment="1" applyProtection="1">
      <alignment horizontal="left"/>
      <protection locked="0"/>
    </xf>
    <xf numFmtId="0" fontId="14" fillId="13" borderId="25" xfId="0" applyFont="1" applyFill="1" applyBorder="1" applyAlignment="1" applyProtection="1">
      <alignment horizontal="left"/>
      <protection locked="0"/>
    </xf>
    <xf numFmtId="0" fontId="14" fillId="13" borderId="22" xfId="0" applyFont="1" applyFill="1" applyBorder="1" applyAlignment="1" applyProtection="1">
      <alignment horizontal="left"/>
      <protection locked="0"/>
    </xf>
    <xf numFmtId="0" fontId="30" fillId="0" borderId="62" xfId="0" applyFont="1" applyBorder="1" applyAlignment="1">
      <alignment horizontal="left"/>
    </xf>
    <xf numFmtId="0" fontId="30" fillId="0" borderId="4" xfId="0" applyFont="1" applyBorder="1" applyAlignment="1">
      <alignment horizontal="left"/>
    </xf>
    <xf numFmtId="0" fontId="30" fillId="0" borderId="65" xfId="0" applyFont="1" applyBorder="1" applyAlignment="1">
      <alignment horizontal="left"/>
    </xf>
    <xf numFmtId="0" fontId="30" fillId="0" borderId="66" xfId="0" applyFont="1" applyBorder="1" applyAlignment="1">
      <alignment horizontal="left"/>
    </xf>
    <xf numFmtId="0" fontId="25" fillId="0" borderId="55" xfId="0" applyFont="1" applyBorder="1" applyAlignment="1" applyProtection="1">
      <alignment horizontal="left"/>
      <protection hidden="1"/>
    </xf>
    <xf numFmtId="0" fontId="25" fillId="0" borderId="56" xfId="0" applyFont="1" applyBorder="1" applyAlignment="1" applyProtection="1">
      <alignment horizontal="left"/>
      <protection hidden="1"/>
    </xf>
    <xf numFmtId="0" fontId="37" fillId="33" borderId="55" xfId="0" applyFont="1" applyFill="1" applyBorder="1" applyAlignment="1">
      <alignment horizontal="center" vertical="center" wrapText="1"/>
    </xf>
    <xf numFmtId="0" fontId="37" fillId="33" borderId="71" xfId="0" applyFont="1" applyFill="1" applyBorder="1" applyAlignment="1">
      <alignment horizontal="center" vertical="center" wrapText="1"/>
    </xf>
    <xf numFmtId="0" fontId="37" fillId="33" borderId="76" xfId="0" applyFont="1" applyFill="1" applyBorder="1" applyAlignment="1">
      <alignment horizontal="center" vertical="center" wrapText="1"/>
    </xf>
    <xf numFmtId="0" fontId="25" fillId="34" borderId="71" xfId="0" applyFont="1" applyFill="1" applyBorder="1" applyAlignment="1">
      <alignment horizontal="center" wrapText="1"/>
    </xf>
    <xf numFmtId="0" fontId="25" fillId="34" borderId="76" xfId="0" applyFont="1" applyFill="1" applyBorder="1" applyAlignment="1">
      <alignment horizontal="center" wrapText="1"/>
    </xf>
    <xf numFmtId="0" fontId="56" fillId="0" borderId="78" xfId="0" applyFont="1" applyBorder="1" applyAlignment="1" applyProtection="1">
      <alignment horizontal="left" vertical="center" wrapText="1"/>
      <protection locked="0"/>
    </xf>
    <xf numFmtId="0" fontId="56" fillId="0" borderId="21" xfId="0" applyFont="1" applyBorder="1" applyAlignment="1" applyProtection="1">
      <alignment horizontal="left" vertical="center" wrapText="1"/>
      <protection locked="0"/>
    </xf>
    <xf numFmtId="0" fontId="33" fillId="29" borderId="71" xfId="0" applyFont="1" applyFill="1" applyBorder="1" applyAlignment="1">
      <alignment horizontal="left"/>
    </xf>
    <xf numFmtId="0" fontId="25" fillId="35" borderId="83" xfId="0" applyFont="1" applyFill="1" applyBorder="1" applyAlignment="1">
      <alignment horizontal="center" vertical="center" wrapText="1"/>
    </xf>
    <xf numFmtId="0" fontId="25" fillId="35" borderId="61" xfId="0" applyFont="1" applyFill="1" applyBorder="1" applyAlignment="1">
      <alignment horizontal="center" vertical="center" wrapText="1"/>
    </xf>
    <xf numFmtId="0" fontId="25" fillId="0" borderId="55" xfId="0" applyFont="1" applyBorder="1" applyAlignment="1">
      <alignment horizontal="left"/>
    </xf>
    <xf numFmtId="0" fontId="25" fillId="0" borderId="56" xfId="0" applyFont="1" applyBorder="1" applyAlignment="1">
      <alignment horizontal="left"/>
    </xf>
    <xf numFmtId="0" fontId="33" fillId="29" borderId="71" xfId="0" applyFont="1" applyFill="1" applyBorder="1" applyAlignment="1">
      <alignment horizontal="left" wrapText="1"/>
    </xf>
    <xf numFmtId="0" fontId="30" fillId="0" borderId="71" xfId="0" applyFont="1" applyBorder="1" applyAlignment="1">
      <alignment horizontal="center"/>
    </xf>
    <xf numFmtId="0" fontId="14" fillId="13" borderId="33" xfId="0" applyFont="1" applyFill="1" applyBorder="1" applyAlignment="1" applyProtection="1">
      <alignment horizontal="left"/>
      <protection hidden="1"/>
    </xf>
    <xf numFmtId="14" fontId="14" fillId="13" borderId="13" xfId="0" applyNumberFormat="1" applyFont="1" applyFill="1" applyBorder="1" applyAlignment="1" applyProtection="1">
      <alignment horizontal="left"/>
      <protection hidden="1"/>
    </xf>
    <xf numFmtId="0" fontId="14" fillId="13" borderId="13" xfId="0" applyFont="1" applyFill="1" applyBorder="1" applyAlignment="1" applyProtection="1">
      <alignment horizontal="left"/>
      <protection hidden="1"/>
    </xf>
    <xf numFmtId="0" fontId="37" fillId="9" borderId="54" xfId="0" applyFont="1" applyFill="1" applyBorder="1" applyAlignment="1" applyProtection="1">
      <alignment horizontal="center" vertical="center" wrapText="1"/>
      <protection hidden="1"/>
    </xf>
    <xf numFmtId="0" fontId="30" fillId="18" borderId="55" xfId="0" applyFont="1" applyFill="1" applyBorder="1" applyAlignment="1" applyProtection="1">
      <alignment horizontal="center" vertical="center" wrapText="1"/>
      <protection hidden="1"/>
    </xf>
    <xf numFmtId="0" fontId="30" fillId="18" borderId="56" xfId="0" applyFont="1" applyFill="1" applyBorder="1" applyAlignment="1" applyProtection="1">
      <alignment horizontal="center" vertical="center" wrapText="1"/>
      <protection hidden="1"/>
    </xf>
    <xf numFmtId="0" fontId="30" fillId="18" borderId="55" xfId="0" applyFont="1" applyFill="1" applyBorder="1" applyAlignment="1">
      <alignment horizontal="center" vertical="center" wrapText="1"/>
    </xf>
    <xf numFmtId="0" fontId="30" fillId="18" borderId="56" xfId="0" applyFont="1" applyFill="1" applyBorder="1" applyAlignment="1">
      <alignment horizontal="center" vertical="center" wrapText="1"/>
    </xf>
    <xf numFmtId="0" fontId="30" fillId="0" borderId="74" xfId="0" applyFont="1" applyBorder="1" applyAlignment="1">
      <alignment horizontal="left"/>
    </xf>
    <xf numFmtId="0" fontId="30" fillId="0" borderId="14" xfId="0" applyFont="1" applyBorder="1" applyAlignment="1">
      <alignment horizontal="left"/>
    </xf>
    <xf numFmtId="0" fontId="22" fillId="13" borderId="0" xfId="0" applyFont="1" applyFill="1" applyAlignment="1" applyProtection="1">
      <alignment horizontal="center"/>
      <protection hidden="1"/>
    </xf>
    <xf numFmtId="0" fontId="30" fillId="0" borderId="59" xfId="0" applyFont="1" applyBorder="1" applyAlignment="1">
      <alignment horizontal="left"/>
    </xf>
    <xf numFmtId="0" fontId="30" fillId="0" borderId="60" xfId="0" applyFont="1" applyBorder="1" applyAlignment="1">
      <alignment horizontal="left"/>
    </xf>
    <xf numFmtId="41" fontId="14" fillId="0" borderId="33" xfId="0" applyNumberFormat="1" applyFont="1" applyBorder="1" applyAlignment="1" applyProtection="1">
      <alignment horizontal="left"/>
      <protection hidden="1"/>
    </xf>
    <xf numFmtId="0" fontId="14" fillId="0" borderId="33" xfId="0" applyFont="1" applyBorder="1" applyAlignment="1" applyProtection="1">
      <alignment horizontal="left"/>
      <protection hidden="1"/>
    </xf>
    <xf numFmtId="0" fontId="73" fillId="0" borderId="9" xfId="0" applyFont="1" applyBorder="1" applyAlignment="1" applyProtection="1">
      <alignment horizontal="center" vertical="center" wrapText="1"/>
      <protection hidden="1"/>
    </xf>
    <xf numFmtId="0" fontId="73" fillId="0" borderId="13" xfId="0" applyFont="1" applyBorder="1" applyAlignment="1" applyProtection="1">
      <alignment horizontal="center" vertical="center" wrapText="1"/>
      <protection hidden="1"/>
    </xf>
    <xf numFmtId="0" fontId="73" fillId="0" borderId="21" xfId="0" applyFont="1" applyBorder="1" applyAlignment="1" applyProtection="1">
      <alignment horizontal="center" vertical="center" wrapText="1"/>
      <protection hidden="1"/>
    </xf>
    <xf numFmtId="0" fontId="47" fillId="0" borderId="0" xfId="0" applyFont="1" applyBorder="1" applyAlignment="1" applyProtection="1">
      <alignment horizontal="left" vertical="top" wrapText="1"/>
      <protection hidden="1"/>
    </xf>
    <xf numFmtId="9" fontId="27" fillId="0" borderId="38" xfId="2" applyFont="1" applyBorder="1" applyAlignment="1" applyProtection="1">
      <alignment horizontal="center" vertical="center"/>
      <protection locked="0"/>
    </xf>
    <xf numFmtId="9" fontId="27" fillId="0" borderId="39" xfId="2" applyFont="1" applyBorder="1" applyAlignment="1" applyProtection="1">
      <alignment horizontal="center" vertical="center"/>
      <protection locked="0"/>
    </xf>
    <xf numFmtId="9" fontId="27" fillId="0" borderId="40" xfId="2" applyFont="1" applyBorder="1" applyAlignment="1" applyProtection="1">
      <alignment horizontal="center" vertical="center"/>
      <protection locked="0"/>
    </xf>
    <xf numFmtId="170" fontId="27" fillId="0" borderId="37" xfId="1" applyFont="1" applyBorder="1" applyAlignment="1" applyProtection="1">
      <alignment horizontal="center" vertical="center"/>
      <protection locked="0"/>
    </xf>
    <xf numFmtId="0" fontId="14" fillId="0" borderId="0" xfId="0" applyFont="1" applyAlignment="1" applyProtection="1">
      <alignment horizontal="left" wrapText="1"/>
      <protection hidden="1"/>
    </xf>
    <xf numFmtId="0" fontId="25" fillId="0" borderId="0" xfId="0" applyFont="1" applyAlignment="1" applyProtection="1">
      <alignment horizontal="left"/>
      <protection hidden="1"/>
    </xf>
    <xf numFmtId="0" fontId="36" fillId="0" borderId="0" xfId="0" applyFont="1" applyAlignment="1" applyProtection="1">
      <alignment horizontal="left" vertical="center" wrapText="1"/>
      <protection hidden="1"/>
    </xf>
    <xf numFmtId="0" fontId="36" fillId="0" borderId="0" xfId="0" applyFont="1" applyAlignment="1" applyProtection="1">
      <alignment horizontal="left" wrapText="1"/>
      <protection hidden="1"/>
    </xf>
    <xf numFmtId="0" fontId="14" fillId="0" borderId="41" xfId="0" applyFont="1" applyBorder="1" applyAlignment="1" applyProtection="1">
      <alignment horizontal="center"/>
      <protection hidden="1"/>
    </xf>
    <xf numFmtId="9" fontId="24" fillId="25" borderId="9" xfId="2" applyFont="1" applyFill="1" applyBorder="1" applyAlignment="1" applyProtection="1">
      <alignment horizontal="center" vertical="center"/>
      <protection hidden="1"/>
    </xf>
    <xf numFmtId="9" fontId="24" fillId="25" borderId="21" xfId="2" applyFont="1" applyFill="1" applyBorder="1" applyAlignment="1" applyProtection="1">
      <alignment horizontal="center" vertical="center"/>
      <protection hidden="1"/>
    </xf>
    <xf numFmtId="0" fontId="11" fillId="13" borderId="72" xfId="12" applyFont="1" applyFill="1" applyBorder="1" applyAlignment="1" applyProtection="1">
      <alignment horizontal="center" vertical="center" wrapText="1"/>
      <protection locked="0" hidden="1"/>
    </xf>
    <xf numFmtId="0" fontId="11" fillId="13" borderId="57" xfId="12" applyFont="1" applyFill="1" applyBorder="1" applyAlignment="1" applyProtection="1">
      <alignment horizontal="center" vertical="center" wrapText="1"/>
      <protection locked="0" hidden="1"/>
    </xf>
    <xf numFmtId="0" fontId="23" fillId="22" borderId="20" xfId="12" applyFont="1" applyBorder="1" applyAlignment="1" applyProtection="1">
      <alignment horizontal="center" vertical="center" wrapText="1"/>
      <protection hidden="1"/>
    </xf>
    <xf numFmtId="0" fontId="23" fillId="22" borderId="14" xfId="12" applyFont="1" applyBorder="1" applyAlignment="1" applyProtection="1">
      <alignment horizontal="center" vertical="center" wrapText="1"/>
      <protection hidden="1"/>
    </xf>
    <xf numFmtId="0" fontId="14" fillId="0" borderId="33" xfId="0" applyFont="1" applyBorder="1" applyAlignment="1" applyProtection="1">
      <alignment horizontal="center"/>
      <protection hidden="1"/>
    </xf>
    <xf numFmtId="0" fontId="23" fillId="22" borderId="30" xfId="12" applyFont="1" applyBorder="1" applyAlignment="1" applyProtection="1">
      <alignment horizontal="center" vertical="center" wrapText="1"/>
      <protection hidden="1"/>
    </xf>
    <xf numFmtId="0" fontId="23" fillId="22" borderId="34" xfId="12" applyFont="1" applyBorder="1" applyAlignment="1" applyProtection="1">
      <alignment horizontal="center" vertical="center" wrapText="1"/>
      <protection hidden="1"/>
    </xf>
    <xf numFmtId="0" fontId="23" fillId="22" borderId="31" xfId="12" applyFont="1" applyBorder="1" applyAlignment="1" applyProtection="1">
      <alignment horizontal="center" vertical="center" wrapText="1"/>
      <protection hidden="1"/>
    </xf>
    <xf numFmtId="0" fontId="23" fillId="22" borderId="35" xfId="12" applyFont="1" applyBorder="1" applyAlignment="1" applyProtection="1">
      <alignment horizontal="center" vertical="center" wrapText="1"/>
      <protection hidden="1"/>
    </xf>
    <xf numFmtId="0" fontId="27" fillId="13" borderId="0" xfId="12" applyFont="1" applyFill="1" applyBorder="1" applyAlignment="1" applyProtection="1">
      <alignment horizontal="center" vertical="top" wrapText="1"/>
      <protection locked="0" hidden="1"/>
    </xf>
    <xf numFmtId="0" fontId="25" fillId="12" borderId="4" xfId="0"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9" fillId="25" borderId="4" xfId="0" applyFont="1" applyFill="1" applyBorder="1" applyAlignment="1" applyProtection="1">
      <alignment horizontal="center" vertical="center"/>
      <protection hidden="1"/>
    </xf>
    <xf numFmtId="0" fontId="14" fillId="0" borderId="13" xfId="0" applyFont="1" applyBorder="1" applyAlignment="1" applyProtection="1">
      <alignment horizontal="left"/>
      <protection hidden="1"/>
    </xf>
    <xf numFmtId="14" fontId="27" fillId="0" borderId="13" xfId="0" applyNumberFormat="1" applyFont="1" applyBorder="1" applyAlignment="1" applyProtection="1">
      <alignment horizontal="left"/>
      <protection locked="0"/>
    </xf>
    <xf numFmtId="0" fontId="27" fillId="0" borderId="13" xfId="0" applyFont="1" applyBorder="1" applyAlignment="1" applyProtection="1">
      <alignment horizontal="left"/>
      <protection locked="0"/>
    </xf>
    <xf numFmtId="0" fontId="27" fillId="13" borderId="21" xfId="12" applyFont="1" applyFill="1" applyBorder="1" applyAlignment="1" applyProtection="1">
      <alignment horizontal="center" vertical="top" wrapText="1"/>
      <protection locked="0" hidden="1"/>
    </xf>
    <xf numFmtId="0" fontId="27" fillId="13" borderId="4" xfId="12" applyFont="1" applyFill="1" applyBorder="1" applyAlignment="1" applyProtection="1">
      <alignment horizontal="center" vertical="top" wrapText="1"/>
      <protection locked="0" hidden="1"/>
    </xf>
    <xf numFmtId="0" fontId="27" fillId="13" borderId="34" xfId="12" applyFont="1" applyFill="1" applyBorder="1" applyAlignment="1" applyProtection="1">
      <alignment horizontal="center" vertical="top" wrapText="1"/>
      <protection locked="0" hidden="1"/>
    </xf>
    <xf numFmtId="0" fontId="27" fillId="13" borderId="20" xfId="12" applyFont="1" applyFill="1" applyBorder="1" applyAlignment="1" applyProtection="1">
      <alignment horizontal="center" vertical="top" wrapText="1"/>
      <protection locked="0" hidden="1"/>
    </xf>
    <xf numFmtId="0" fontId="14" fillId="0" borderId="34" xfId="0" applyFont="1" applyBorder="1" applyAlignment="1" applyProtection="1">
      <alignment horizontal="center"/>
      <protection locked="0" hidden="1"/>
    </xf>
    <xf numFmtId="0" fontId="14" fillId="0" borderId="20" xfId="0" applyFont="1" applyBorder="1" applyAlignment="1" applyProtection="1">
      <alignment horizontal="center"/>
      <protection locked="0" hidden="1"/>
    </xf>
    <xf numFmtId="41" fontId="14" fillId="0" borderId="13" xfId="0" applyNumberFormat="1" applyFont="1" applyBorder="1" applyAlignment="1" applyProtection="1">
      <alignment horizontal="left"/>
      <protection hidden="1"/>
    </xf>
    <xf numFmtId="0" fontId="28" fillId="25" borderId="46" xfId="0" applyFont="1" applyFill="1" applyBorder="1" applyAlignment="1" applyProtection="1">
      <alignment horizontal="center" vertical="center"/>
      <protection hidden="1"/>
    </xf>
    <xf numFmtId="0" fontId="25" fillId="25" borderId="24" xfId="0" applyFont="1" applyFill="1" applyBorder="1" applyAlignment="1" applyProtection="1">
      <alignment horizontal="center" vertical="center"/>
      <protection hidden="1"/>
    </xf>
    <xf numFmtId="172" fontId="17" fillId="9" borderId="19" xfId="4" applyNumberFormat="1" applyFont="1" applyFill="1" applyBorder="1" applyAlignment="1" applyProtection="1">
      <alignment horizontal="center" vertical="center"/>
      <protection hidden="1"/>
    </xf>
    <xf numFmtId="170" fontId="11" fillId="5" borderId="169" xfId="2" applyNumberFormat="1" applyFont="1" applyFill="1" applyBorder="1" applyAlignment="1" applyProtection="1">
      <alignment horizontal="center" vertical="center"/>
      <protection hidden="1"/>
    </xf>
    <xf numFmtId="170" fontId="11" fillId="5" borderId="166" xfId="2" applyNumberFormat="1" applyFont="1" applyFill="1" applyBorder="1" applyAlignment="1" applyProtection="1">
      <alignment horizontal="center" vertical="center"/>
      <protection hidden="1"/>
    </xf>
    <xf numFmtId="0" fontId="43" fillId="13" borderId="102" xfId="5" applyFont="1" applyFill="1" applyBorder="1" applyAlignment="1">
      <alignment horizontal="center" vertical="center"/>
    </xf>
    <xf numFmtId="0" fontId="43" fillId="13" borderId="0" xfId="5" applyFont="1" applyFill="1" applyAlignment="1">
      <alignment horizontal="center" vertical="center"/>
    </xf>
    <xf numFmtId="0" fontId="43" fillId="13" borderId="33" xfId="5" applyFont="1" applyFill="1" applyBorder="1" applyAlignment="1">
      <alignment horizontal="center" vertical="center"/>
    </xf>
    <xf numFmtId="41" fontId="10" fillId="5" borderId="19" xfId="3" applyNumberFormat="1" applyFont="1" applyFill="1" applyBorder="1" applyAlignment="1" applyProtection="1">
      <alignment horizontal="center" vertical="center" wrapText="1"/>
      <protection hidden="1"/>
    </xf>
    <xf numFmtId="0" fontId="10" fillId="5" borderId="19" xfId="3" applyFont="1" applyFill="1" applyBorder="1" applyAlignment="1" applyProtection="1">
      <alignment horizontal="center" vertical="center" wrapText="1"/>
      <protection hidden="1"/>
    </xf>
    <xf numFmtId="0" fontId="10" fillId="5" borderId="0" xfId="3" applyFont="1" applyFill="1" applyBorder="1" applyAlignment="1" applyProtection="1">
      <alignment horizontal="center" vertical="center" wrapText="1"/>
      <protection hidden="1"/>
    </xf>
    <xf numFmtId="0" fontId="10" fillId="5" borderId="26" xfId="3" applyFont="1" applyFill="1" applyBorder="1" applyAlignment="1" applyProtection="1">
      <alignment horizontal="center" vertical="center" wrapText="1"/>
      <protection hidden="1"/>
    </xf>
    <xf numFmtId="0" fontId="10" fillId="5" borderId="13" xfId="3" applyFont="1" applyFill="1" applyBorder="1" applyAlignment="1" applyProtection="1">
      <alignment horizontal="center" vertical="center" wrapText="1"/>
      <protection hidden="1"/>
    </xf>
    <xf numFmtId="0" fontId="10" fillId="5" borderId="86" xfId="3" applyFont="1" applyFill="1" applyBorder="1" applyAlignment="1" applyProtection="1">
      <alignment horizontal="center" vertical="center" wrapText="1"/>
      <protection hidden="1"/>
    </xf>
    <xf numFmtId="0" fontId="10" fillId="5" borderId="21" xfId="3" applyFont="1" applyFill="1" applyBorder="1" applyAlignment="1" applyProtection="1">
      <alignment horizontal="center" vertical="center" wrapText="1"/>
      <protection hidden="1"/>
    </xf>
    <xf numFmtId="170" fontId="11" fillId="5" borderId="13" xfId="2" applyNumberFormat="1" applyFont="1" applyFill="1" applyBorder="1" applyAlignment="1" applyProtection="1">
      <alignment horizontal="center" vertical="center"/>
      <protection hidden="1"/>
    </xf>
    <xf numFmtId="170" fontId="11" fillId="5" borderId="86" xfId="2" applyNumberFormat="1" applyFont="1" applyFill="1" applyBorder="1" applyAlignment="1" applyProtection="1">
      <alignment horizontal="center" vertical="center"/>
      <protection hidden="1"/>
    </xf>
    <xf numFmtId="9" fontId="43" fillId="5" borderId="13" xfId="2" applyFont="1" applyFill="1" applyBorder="1" applyAlignment="1" applyProtection="1">
      <alignment horizontal="center" vertical="center"/>
      <protection hidden="1"/>
    </xf>
    <xf numFmtId="9" fontId="43" fillId="5" borderId="86" xfId="2" applyFont="1" applyFill="1" applyBorder="1" applyAlignment="1" applyProtection="1">
      <alignment horizontal="center" vertical="center"/>
      <protection hidden="1"/>
    </xf>
    <xf numFmtId="190" fontId="11" fillId="20" borderId="13" xfId="6" applyNumberFormat="1" applyFont="1" applyFill="1" applyBorder="1" applyAlignment="1" applyProtection="1">
      <alignment horizontal="center" vertical="center" wrapText="1"/>
      <protection hidden="1"/>
    </xf>
    <xf numFmtId="190" fontId="11" fillId="20" borderId="86" xfId="6" applyNumberFormat="1" applyFont="1" applyFill="1" applyBorder="1" applyAlignment="1" applyProtection="1">
      <alignment horizontal="center" vertical="center" wrapText="1"/>
      <protection hidden="1"/>
    </xf>
    <xf numFmtId="172" fontId="43" fillId="9" borderId="19" xfId="4" applyNumberFormat="1" applyFont="1" applyFill="1" applyBorder="1" applyAlignment="1" applyProtection="1">
      <alignment horizontal="center" vertical="center"/>
      <protection hidden="1"/>
    </xf>
    <xf numFmtId="0" fontId="47" fillId="8" borderId="165" xfId="0" applyFont="1" applyFill="1" applyBorder="1" applyAlignment="1">
      <alignment horizontal="left" vertical="center" wrapText="1"/>
    </xf>
    <xf numFmtId="0" fontId="47" fillId="8" borderId="31" xfId="0" applyFont="1" applyFill="1" applyBorder="1" applyAlignment="1">
      <alignment horizontal="left" vertical="center" wrapText="1"/>
    </xf>
    <xf numFmtId="0" fontId="9" fillId="8" borderId="4" xfId="8" applyFont="1" applyFill="1" applyBorder="1" applyAlignment="1" applyProtection="1">
      <alignment vertical="center" wrapText="1"/>
    </xf>
    <xf numFmtId="0" fontId="46" fillId="11" borderId="29" xfId="8" applyFont="1" applyFill="1" applyBorder="1" applyAlignment="1" applyProtection="1">
      <alignment horizontal="center" vertical="center" textRotation="90" wrapText="1"/>
    </xf>
    <xf numFmtId="0" fontId="46" fillId="11" borderId="51" xfId="8" applyFont="1" applyFill="1" applyBorder="1" applyAlignment="1" applyProtection="1">
      <alignment horizontal="center" vertical="center" textRotation="90" wrapText="1"/>
    </xf>
    <xf numFmtId="0" fontId="46" fillId="11" borderId="49" xfId="8" applyFont="1" applyFill="1" applyBorder="1" applyAlignment="1" applyProtection="1">
      <alignment horizontal="center" vertical="center" textRotation="90" wrapText="1"/>
    </xf>
    <xf numFmtId="0" fontId="9" fillId="11" borderId="167" xfId="8" applyFont="1" applyFill="1" applyBorder="1" applyAlignment="1" applyProtection="1">
      <alignment horizontal="center" vertical="center" wrapText="1"/>
    </xf>
    <xf numFmtId="0" fontId="9" fillId="11" borderId="24" xfId="8" applyFont="1" applyFill="1" applyBorder="1" applyAlignment="1" applyProtection="1">
      <alignment horizontal="center" vertical="center" wrapText="1"/>
    </xf>
    <xf numFmtId="0" fontId="9" fillId="11" borderId="14" xfId="8" applyFont="1" applyFill="1" applyBorder="1" applyAlignment="1" applyProtection="1">
      <alignment horizontal="center" vertical="center" wrapText="1"/>
    </xf>
    <xf numFmtId="0" fontId="9" fillId="11" borderId="4" xfId="8" applyFont="1" applyFill="1" applyBorder="1" applyAlignment="1" applyProtection="1">
      <alignment vertical="center" wrapText="1"/>
    </xf>
    <xf numFmtId="0" fontId="47" fillId="18" borderId="165" xfId="0" applyFont="1" applyFill="1" applyBorder="1" applyAlignment="1">
      <alignment horizontal="left" vertical="center" wrapText="1"/>
    </xf>
    <xf numFmtId="0" fontId="47" fillId="18" borderId="31" xfId="0" applyFont="1" applyFill="1" applyBorder="1" applyAlignment="1">
      <alignment horizontal="left" vertical="center" wrapText="1"/>
    </xf>
    <xf numFmtId="0" fontId="48" fillId="8" borderId="16" xfId="8" applyFont="1" applyFill="1" applyBorder="1" applyAlignment="1" applyProtection="1">
      <alignment horizontal="center" vertical="center" textRotation="90" wrapText="1"/>
    </xf>
    <xf numFmtId="0" fontId="27" fillId="14" borderId="169" xfId="5" applyFont="1" applyFill="1" applyBorder="1" applyAlignment="1">
      <alignment horizontal="center" vertical="center"/>
    </xf>
    <xf numFmtId="0" fontId="27" fillId="14" borderId="0" xfId="5" applyFont="1" applyFill="1" applyAlignment="1">
      <alignment horizontal="center" vertical="center"/>
    </xf>
    <xf numFmtId="0" fontId="50" fillId="0" borderId="0" xfId="5" applyFont="1" applyAlignment="1" applyProtection="1">
      <alignment horizontal="left" vertical="center" wrapText="1"/>
      <protection locked="0"/>
    </xf>
    <xf numFmtId="0" fontId="25" fillId="13" borderId="0" xfId="0" applyFont="1" applyFill="1" applyAlignment="1">
      <alignment horizontal="center"/>
    </xf>
    <xf numFmtId="172" fontId="28" fillId="16" borderId="4" xfId="4" applyNumberFormat="1" applyFont="1" applyFill="1" applyBorder="1" applyAlignment="1" applyProtection="1">
      <alignment horizontal="center" vertical="center"/>
    </xf>
    <xf numFmtId="172" fontId="27" fillId="16" borderId="9" xfId="4" applyNumberFormat="1" applyFont="1" applyFill="1" applyBorder="1" applyAlignment="1" applyProtection="1">
      <alignment horizontal="center" vertical="center"/>
    </xf>
    <xf numFmtId="172" fontId="27" fillId="16" borderId="13" xfId="4" applyNumberFormat="1" applyFont="1" applyFill="1" applyBorder="1" applyAlignment="1" applyProtection="1">
      <alignment horizontal="center" vertical="center"/>
    </xf>
    <xf numFmtId="172" fontId="27" fillId="16" borderId="21" xfId="4" applyNumberFormat="1" applyFont="1" applyFill="1" applyBorder="1" applyAlignment="1" applyProtection="1">
      <alignment horizontal="center" vertical="center"/>
    </xf>
    <xf numFmtId="172" fontId="28" fillId="30" borderId="4" xfId="4" applyNumberFormat="1" applyFont="1" applyFill="1" applyBorder="1" applyAlignment="1" applyProtection="1">
      <alignment horizontal="center" vertical="center"/>
    </xf>
    <xf numFmtId="172" fontId="28" fillId="20" borderId="4" xfId="4" applyNumberFormat="1" applyFont="1" applyFill="1" applyBorder="1" applyAlignment="1" applyProtection="1">
      <alignment horizontal="center" vertical="center"/>
    </xf>
    <xf numFmtId="9" fontId="51" fillId="21" borderId="4" xfId="2" applyFont="1" applyFill="1" applyBorder="1" applyAlignment="1" applyProtection="1">
      <alignment horizontal="center" vertical="center"/>
    </xf>
    <xf numFmtId="0" fontId="30" fillId="5" borderId="9" xfId="9" applyFont="1" applyFill="1" applyBorder="1" applyAlignment="1">
      <alignment horizontal="center" vertical="center" wrapText="1"/>
    </xf>
    <xf numFmtId="0" fontId="30" fillId="5" borderId="13" xfId="9" applyFont="1" applyFill="1" applyBorder="1" applyAlignment="1">
      <alignment horizontal="center" vertical="center" wrapText="1"/>
    </xf>
    <xf numFmtId="0" fontId="30" fillId="5" borderId="21" xfId="9" applyFont="1" applyFill="1" applyBorder="1" applyAlignment="1">
      <alignment horizontal="center" vertical="center" wrapText="1"/>
    </xf>
    <xf numFmtId="0" fontId="27" fillId="15" borderId="169" xfId="5" applyFont="1" applyFill="1" applyBorder="1" applyAlignment="1">
      <alignment horizontal="center" vertical="center"/>
    </xf>
    <xf numFmtId="0" fontId="27" fillId="15" borderId="0" xfId="5" applyFont="1" applyFill="1" applyAlignment="1">
      <alignment horizontal="center" vertical="center"/>
    </xf>
    <xf numFmtId="0" fontId="27" fillId="15" borderId="33" xfId="5" applyFont="1" applyFill="1" applyBorder="1" applyAlignment="1">
      <alignment horizontal="center" vertical="center"/>
    </xf>
    <xf numFmtId="0" fontId="48" fillId="12" borderId="16" xfId="8" applyFont="1" applyFill="1" applyBorder="1" applyAlignment="1" applyProtection="1">
      <alignment horizontal="center" vertical="center" textRotation="90" wrapText="1"/>
    </xf>
    <xf numFmtId="0" fontId="9" fillId="12" borderId="4" xfId="8" applyFont="1" applyFill="1" applyBorder="1" applyAlignment="1" applyProtection="1">
      <alignment vertical="center" wrapText="1"/>
    </xf>
    <xf numFmtId="0" fontId="48" fillId="6" borderId="168" xfId="8" applyFont="1" applyFill="1" applyBorder="1" applyAlignment="1" applyProtection="1">
      <alignment horizontal="center" vertical="center" textRotation="90" wrapText="1"/>
    </xf>
    <xf numFmtId="0" fontId="48" fillId="6" borderId="46" xfId="8" applyFont="1" applyFill="1" applyBorder="1" applyAlignment="1" applyProtection="1">
      <alignment horizontal="center" vertical="center" textRotation="90" wrapText="1"/>
    </xf>
    <xf numFmtId="0" fontId="9" fillId="6" borderId="167" xfId="8" applyFont="1" applyFill="1" applyBorder="1" applyAlignment="1" applyProtection="1">
      <alignment horizontal="center" vertical="center" wrapText="1"/>
    </xf>
    <xf numFmtId="0" fontId="9" fillId="6" borderId="24" xfId="8" applyFont="1" applyFill="1" applyBorder="1" applyAlignment="1" applyProtection="1">
      <alignment horizontal="center" vertical="center" wrapText="1"/>
    </xf>
    <xf numFmtId="0" fontId="9" fillId="6" borderId="47" xfId="8" applyFont="1" applyFill="1" applyBorder="1" applyAlignment="1" applyProtection="1">
      <alignment horizontal="center" vertical="center" wrapText="1"/>
    </xf>
  </cellXfs>
  <cellStyles count="47">
    <cellStyle name="40% - Énfasis2" xfId="22" builtinId="35"/>
    <cellStyle name="40% - Énfasis4" xfId="23" builtinId="43"/>
    <cellStyle name="60% - Énfasis3 2" xfId="33"/>
    <cellStyle name="Buena" xfId="36" builtinId="26"/>
    <cellStyle name="Énfasis1" xfId="12" builtinId="29"/>
    <cellStyle name="Énfasis2" xfId="13" builtinId="33"/>
    <cellStyle name="Hipervínculo" xfId="16" builtinId="8"/>
    <cellStyle name="Incorrecto" xfId="20" builtinId="27"/>
    <cellStyle name="Incorrecto 2" xfId="8"/>
    <cellStyle name="Millares" xfId="18" builtinId="3"/>
    <cellStyle name="Millares [0]" xfId="19" builtinId="6"/>
    <cellStyle name="Millares [0] 2" xfId="40"/>
    <cellStyle name="Millares 2" xfId="39"/>
    <cellStyle name="Millares 2 2" xfId="27"/>
    <cellStyle name="Millares 2 2 2" xfId="43"/>
    <cellStyle name="Millares 4" xfId="4"/>
    <cellStyle name="Millares 4 2" xfId="24"/>
    <cellStyle name="Millares 4 2 2" xfId="41"/>
    <cellStyle name="Millares 5" xfId="6"/>
    <cellStyle name="Millares 5 2" xfId="37"/>
    <cellStyle name="Moneda" xfId="1" builtinId="4"/>
    <cellStyle name="Moneda [0]" xfId="46" builtinId="7"/>
    <cellStyle name="Moneda 2" xfId="14"/>
    <cellStyle name="Moneda 2 2" xfId="26"/>
    <cellStyle name="Moneda 3" xfId="15"/>
    <cellStyle name="Moneda 4" xfId="17"/>
    <cellStyle name="Moneda 4 2" xfId="38"/>
    <cellStyle name="Neutral 2" xfId="32"/>
    <cellStyle name="Normal" xfId="0" builtinId="0"/>
    <cellStyle name="Normal 2" xfId="11"/>
    <cellStyle name="Normal 2 2 2" xfId="28"/>
    <cellStyle name="Normal 3 2" xfId="30"/>
    <cellStyle name="Normal 5" xfId="5"/>
    <cellStyle name="Normal 6 2" xfId="29"/>
    <cellStyle name="Normal 7" xfId="9"/>
    <cellStyle name="Normal_Hoja1" xfId="10"/>
    <cellStyle name="Notas" xfId="21" builtinId="10"/>
    <cellStyle name="Note" xfId="3"/>
    <cellStyle name="Note 2 2 10" xfId="25"/>
    <cellStyle name="Note 2 2 10 2" xfId="42"/>
    <cellStyle name="Note 2 7 2 2" xfId="34"/>
    <cellStyle name="Note 2 7 2 2 2" xfId="44"/>
    <cellStyle name="Note 3" xfId="35"/>
    <cellStyle name="Note 3 2" xfId="45"/>
    <cellStyle name="Porcentaje" xfId="2" builtinId="5"/>
    <cellStyle name="Porcentaje 2" xfId="7"/>
    <cellStyle name="Porcentual 4" xfId="31"/>
  </cellStyles>
  <dxfs count="430">
    <dxf>
      <font>
        <b/>
        <i val="0"/>
        <color theme="0" tint="-4.9989318521683403E-2"/>
        <name val="Calibri Light"/>
        <scheme val="none"/>
      </font>
      <fill>
        <patternFill>
          <bgColor rgb="FFC0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indexed="8"/>
        <name val="Arial"/>
        <scheme val="none"/>
      </font>
      <numFmt numFmtId="0" formatCode="General"/>
      <fill>
        <patternFill patternType="solid">
          <fgColor indexed="64"/>
          <bgColor theme="0"/>
        </patternFill>
      </fill>
      <alignment horizontal="general" vertical="center" textRotation="0" wrapText="1" indent="0" justifyLastLine="0" shrinkToFit="0" readingOrder="0"/>
      <border diagonalUp="0" diagonalDown="0">
        <left/>
        <right/>
        <top style="thin">
          <color indexed="64"/>
        </top>
        <bottom style="thin">
          <color indexed="64"/>
        </bottom>
      </border>
      <protection locked="1" hidden="0"/>
    </dxf>
    <dxf>
      <border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indexed="8"/>
        <name val="Arial"/>
        <scheme val="none"/>
      </font>
      <numFmt numFmtId="0" formatCode="General"/>
      <fill>
        <patternFill patternType="solid">
          <fgColor indexed="64"/>
          <bgColor theme="0"/>
        </patternFill>
      </fill>
      <alignment horizontal="general" vertical="center"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0"/>
        <color indexed="8"/>
        <name val="Arial"/>
        <scheme val="none"/>
      </font>
      <numFmt numFmtId="0" formatCode="General"/>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1"/>
        <color auto="1"/>
        <name val="Arial"/>
        <scheme val="none"/>
      </font>
      <numFmt numFmtId="172" formatCode="_-* #,##0_-;\-* #,##0_-;_-* &quot;-&quot;??_-;_-@_-"/>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rgb="FF000000"/>
        <name val="Arial"/>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border>
      <protection locked="1" hidden="0"/>
    </dxf>
    <dxf>
      <font>
        <b val="0"/>
        <i val="0"/>
        <strike val="0"/>
        <condense val="0"/>
        <extend val="0"/>
        <outline val="0"/>
        <shadow val="0"/>
        <u val="none"/>
        <vertAlign val="baseline"/>
        <sz val="11"/>
        <color theme="1"/>
        <name val="Arial"/>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style="thin">
          <color theme="4" tint="0.39997558519241921"/>
        </bottom>
      </border>
      <protection locked="1" hidden="0"/>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ont>
        <strike val="0"/>
        <outline val="0"/>
        <shadow val="0"/>
        <u val="none"/>
        <vertAlign val="baseline"/>
        <name val="Arial"/>
        <scheme val="none"/>
      </font>
      <protection locked="1" hidden="0"/>
    </dxf>
    <dxf>
      <border outline="0">
        <bottom style="thin">
          <color theme="4" tint="0.39997558519241921"/>
        </bottom>
      </border>
    </dxf>
    <dxf>
      <font>
        <strike val="0"/>
        <outline val="0"/>
        <shadow val="0"/>
        <u val="none"/>
        <vertAlign val="baseline"/>
        <name val="Arial"/>
        <scheme val="none"/>
      </font>
      <protection locked="1" hidden="0"/>
    </dxf>
    <dxf>
      <font>
        <b val="0"/>
        <i val="0"/>
        <strike val="0"/>
        <condense val="0"/>
        <extend val="0"/>
        <outline val="0"/>
        <shadow val="0"/>
        <u val="none"/>
        <vertAlign val="baseline"/>
        <sz val="11"/>
        <color auto="1"/>
        <name val="Arial"/>
        <scheme val="none"/>
      </font>
      <numFmt numFmtId="172" formatCode="_-* #,##0_-;\-* #,##0_-;_-* &quot;-&quot;??_-;_-@_-"/>
      <alignment horizontal="center"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name val="Arial"/>
        <scheme val="none"/>
      </font>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strike val="0"/>
        <outline val="0"/>
        <shadow val="0"/>
        <u val="none"/>
        <vertAlign val="baseline"/>
        <name val="Arial"/>
        <scheme val="none"/>
      </font>
      <numFmt numFmtId="192" formatCode="_-* #.##0_-;\-* #.##0_-;_-* &quot;-&quot;??_-;_-@_-"/>
      <protection locked="1" hidden="0"/>
    </dxf>
    <dxf>
      <font>
        <b val="0"/>
        <i val="0"/>
        <strike val="0"/>
        <condense val="0"/>
        <extend val="0"/>
        <outline val="0"/>
        <shadow val="0"/>
        <u val="none"/>
        <vertAlign val="baseline"/>
        <sz val="11"/>
        <color auto="1"/>
        <name val="Arial"/>
        <scheme val="none"/>
      </font>
      <numFmt numFmtId="172" formatCode="_-* #,##0_-;\-* #,##0_-;_-* &quot;-&quot;??_-;_-@_-"/>
      <alignment horizontal="center" vertical="center" textRotation="0" wrapText="0"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2"/>
        <color auto="1"/>
        <name val="Arial"/>
        <scheme val="none"/>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Arial"/>
        <scheme val="none"/>
      </font>
      <numFmt numFmtId="13" formatCode="0%"/>
      <fill>
        <patternFill patternType="solid">
          <fgColor indexed="64"/>
          <bgColor rgb="FFFFFF00"/>
        </patternFill>
      </fill>
      <alignment horizontal="center" vertical="center" textRotation="0" wrapText="1" indent="0" justifyLastLine="0" shrinkToFit="0" readingOrder="0"/>
      <border diagonalUp="0" diagonalDown="0">
        <left/>
        <right style="medium">
          <color indexed="64"/>
        </right>
        <top/>
        <bottom style="medium">
          <color indexed="64"/>
        </bottom>
      </border>
      <protection locked="1" hidden="0"/>
    </dxf>
    <dxf>
      <font>
        <b val="0"/>
        <i val="0"/>
        <strike val="0"/>
        <condense val="0"/>
        <extend val="0"/>
        <outline val="0"/>
        <shadow val="0"/>
        <u val="none"/>
        <vertAlign val="baseline"/>
        <sz val="10"/>
        <color rgb="FFFF0000"/>
        <name val="Arial"/>
        <scheme val="none"/>
      </font>
      <numFmt numFmtId="13" formatCode="0%"/>
      <alignment horizontal="center" vertical="center" textRotation="0" wrapText="1" indent="0" justifyLastLine="0" shrinkToFit="0" readingOrder="0"/>
      <border diagonalUp="0" diagonalDown="0">
        <left/>
        <right style="medium">
          <color indexed="64"/>
        </right>
        <top/>
        <bottom style="medium">
          <color indexed="64"/>
        </bottom>
      </border>
      <protection locked="1" hidden="0"/>
    </dxf>
    <dxf>
      <font>
        <b val="0"/>
        <i val="0"/>
        <strike val="0"/>
        <condense val="0"/>
        <extend val="0"/>
        <outline val="0"/>
        <shadow val="0"/>
        <u val="none"/>
        <vertAlign val="baseline"/>
        <sz val="10"/>
        <color rgb="FFFF0000"/>
        <name val="Arial"/>
        <scheme val="none"/>
      </font>
      <numFmt numFmtId="13" formatCode="0%"/>
      <fill>
        <patternFill patternType="solid">
          <fgColor indexed="64"/>
          <bgColor rgb="FFFFFF00"/>
        </patternFill>
      </fill>
      <alignment horizontal="center" vertical="center" textRotation="0" wrapText="1" indent="0" justifyLastLine="0" shrinkToFit="0" readingOrder="0"/>
      <border diagonalUp="0" diagonalDown="0">
        <left/>
        <right style="medium">
          <color indexed="64"/>
        </right>
        <top/>
        <bottom style="medium">
          <color indexed="64"/>
        </bottom>
      </border>
      <protection locked="1" hidden="0"/>
    </dxf>
    <dxf>
      <font>
        <b val="0"/>
        <i val="0"/>
        <strike val="0"/>
        <condense val="0"/>
        <extend val="0"/>
        <outline val="0"/>
        <shadow val="0"/>
        <u val="none"/>
        <vertAlign val="baseline"/>
        <sz val="10"/>
        <color rgb="FF000000"/>
        <name val="Arial"/>
        <scheme val="none"/>
      </font>
      <alignment horizontal="justify" vertical="center" textRotation="0" wrapText="1" indent="0" justifyLastLine="0" shrinkToFit="0" readingOrder="0"/>
      <border diagonalUp="0" diagonalDown="0">
        <left/>
        <right/>
        <top/>
        <bottom style="medium">
          <color indexed="64"/>
        </bottom>
      </border>
      <protection locked="1" hidden="0"/>
    </dxf>
    <dxf>
      <border outline="0">
        <left style="medium">
          <color indexed="64"/>
        </left>
        <right style="medium">
          <color indexed="64"/>
        </right>
        <bottom style="medium">
          <color indexed="64"/>
        </bottom>
      </border>
    </dxf>
    <dxf>
      <font>
        <strike val="0"/>
        <outline val="0"/>
        <shadow val="0"/>
        <u val="none"/>
        <vertAlign val="baseline"/>
        <sz val="10"/>
        <name val="Arial"/>
        <scheme val="none"/>
      </font>
      <protection locked="1" hidden="0"/>
    </dxf>
    <dxf>
      <border outline="0">
        <bottom style="medium">
          <color indexed="64"/>
        </bottom>
      </border>
    </dxf>
    <dxf>
      <font>
        <b/>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protection locked="1" hidden="0"/>
    </dxf>
    <dxf>
      <font>
        <color rgb="FFFF0000"/>
      </font>
    </dxf>
    <dxf>
      <font>
        <color rgb="FFFF0000"/>
      </font>
    </dxf>
    <dxf>
      <font>
        <color rgb="FFFF0000"/>
      </font>
    </dxf>
    <dxf>
      <fill>
        <patternFill>
          <bgColor rgb="FF00FF00"/>
        </patternFill>
      </fill>
    </dxf>
    <dxf>
      <fill>
        <patternFill>
          <bgColor rgb="FFFF0000"/>
        </patternFill>
      </fill>
    </dxf>
    <dxf>
      <fill>
        <patternFill>
          <bgColor rgb="FFFFFF00"/>
        </patternFill>
      </fill>
    </dxf>
    <dxf>
      <fill>
        <patternFill>
          <bgColor rgb="FF00FF00"/>
        </patternFill>
      </fill>
    </dxf>
    <dxf>
      <fill>
        <patternFill>
          <bgColor rgb="FFFF0000"/>
        </patternFill>
      </fill>
    </dxf>
    <dxf>
      <fill>
        <patternFill>
          <bgColor rgb="FFFF0000"/>
        </patternFill>
      </fill>
    </dxf>
    <dxf>
      <fill>
        <patternFill>
          <bgColor rgb="FF00FF00"/>
        </patternFill>
      </fill>
    </dxf>
    <dxf>
      <fill>
        <patternFill>
          <bgColor rgb="FF00FF00"/>
        </patternFill>
      </fill>
    </dxf>
    <dxf>
      <fill>
        <patternFill>
          <bgColor rgb="FFFF0000"/>
        </patternFill>
      </fill>
    </dxf>
    <dxf>
      <fill>
        <patternFill>
          <bgColor rgb="FFCEE193"/>
        </patternFill>
      </fill>
    </dxf>
    <dxf>
      <fill>
        <patternFill>
          <bgColor rgb="FFFABA86"/>
        </patternFill>
      </fill>
    </dxf>
    <dxf>
      <font>
        <strike val="0"/>
        <outline val="0"/>
        <shadow val="0"/>
        <vertAlign val="baseline"/>
        <name val="Arial"/>
        <scheme val="none"/>
      </font>
      <numFmt numFmtId="13" formatCode="0%"/>
      <alignment horizontal="center" vertical="bottom" textRotation="0" wrapText="0" indent="0" justifyLastLine="0" shrinkToFit="0" readingOrder="0"/>
      <protection locked="1" hidden="1"/>
    </dxf>
    <dxf>
      <font>
        <strike val="0"/>
        <outline val="0"/>
        <shadow val="0"/>
        <vertAlign val="baseline"/>
        <name val="Arial"/>
        <scheme val="none"/>
      </font>
      <numFmt numFmtId="13" formatCode="0%"/>
      <alignment horizontal="center" vertical="bottom" textRotation="0" wrapText="0" indent="0" justifyLastLine="0" shrinkToFit="0" readingOrder="0"/>
      <protection locked="1" hidden="1"/>
    </dxf>
    <dxf>
      <font>
        <strike val="0"/>
        <outline val="0"/>
        <shadow val="0"/>
        <vertAlign val="baseline"/>
        <color auto="1"/>
        <name val="Arial"/>
        <scheme val="none"/>
      </font>
      <numFmt numFmtId="13" formatCode="0%"/>
      <alignment horizontal="center" vertical="bottom" textRotation="0" wrapText="0" indent="0" justifyLastLine="0" shrinkToFit="0" readingOrder="0"/>
      <protection locked="1" hidden="1"/>
    </dxf>
    <dxf>
      <font>
        <strike val="0"/>
        <outline val="0"/>
        <shadow val="0"/>
        <u val="none"/>
        <vertAlign val="baseline"/>
        <sz val="11"/>
        <color auto="1"/>
        <name val="Arial"/>
        <scheme val="none"/>
      </font>
      <numFmt numFmtId="14" formatCode="0.00%"/>
      <alignment horizontal="center" vertical="bottom" textRotation="0" wrapText="0" indent="0" justifyLastLine="0" shrinkToFit="0" readingOrder="0"/>
      <protection locked="1" hidden="1"/>
    </dxf>
    <dxf>
      <font>
        <strike val="0"/>
        <outline val="0"/>
        <shadow val="0"/>
        <vertAlign val="baseline"/>
        <name val="Arial"/>
        <scheme val="none"/>
      </font>
      <numFmt numFmtId="13" formatCode="0%"/>
      <alignment horizontal="center" vertical="bottom" textRotation="0" wrapText="0" indent="0" justifyLastLine="0" shrinkToFit="0" readingOrder="0"/>
      <protection locked="1" hidden="1"/>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b/>
        <i val="0"/>
        <color theme="0"/>
      </font>
      <fill>
        <patternFill>
          <bgColor rgb="FFFF0000"/>
        </patternFill>
      </fill>
    </dxf>
    <dxf>
      <font>
        <b/>
        <i val="0"/>
      </font>
      <fill>
        <patternFill>
          <bgColor rgb="FFFFFF00"/>
        </patternFill>
      </fill>
    </dxf>
    <dxf>
      <font>
        <b/>
        <i val="0"/>
      </font>
      <fill>
        <patternFill>
          <bgColor rgb="FF92D05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numFmt numFmtId="30" formatCode="@"/>
      <fill>
        <patternFill>
          <bgColor rgb="FF00FF00"/>
        </patternFill>
      </fill>
    </dxf>
    <dxf>
      <numFmt numFmtId="30" formatCode="@"/>
      <fill>
        <patternFill>
          <bgColor rgb="FFFF0000"/>
        </patternFill>
      </fill>
    </dxf>
    <dxf>
      <numFmt numFmtId="30" formatCode="@"/>
      <fill>
        <patternFill>
          <bgColor rgb="FF00FF00"/>
        </patternFill>
      </fill>
    </dxf>
    <dxf>
      <numFmt numFmtId="30" formatCode="@"/>
      <fill>
        <patternFill>
          <bgColor rgb="FFFF0000"/>
        </patternFill>
      </fill>
    </dxf>
    <dxf>
      <fill>
        <patternFill>
          <bgColor rgb="FFFF0000"/>
        </patternFill>
      </fill>
    </dxf>
    <dxf>
      <fill>
        <patternFill>
          <bgColor rgb="FF05ED1B"/>
        </patternFill>
      </fill>
    </dxf>
    <dxf>
      <fill>
        <patternFill>
          <bgColor rgb="FFFF0000"/>
        </patternFill>
      </fill>
    </dxf>
    <dxf>
      <fill>
        <patternFill>
          <bgColor indexed="11"/>
        </patternFill>
      </fill>
    </dxf>
    <dxf>
      <font>
        <b val="0"/>
        <i val="0"/>
        <strike val="0"/>
        <color theme="0"/>
      </font>
      <fill>
        <patternFill>
          <bgColor theme="1"/>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rgb="FFFFFF00"/>
        </patternFill>
      </fill>
    </dxf>
    <dxf>
      <fill>
        <patternFill>
          <bgColor rgb="FFC00000"/>
        </patternFill>
      </fill>
    </dxf>
    <dxf>
      <fill>
        <patternFill>
          <bgColor theme="9"/>
        </patternFill>
      </fill>
    </dxf>
    <dxf>
      <fill>
        <patternFill>
          <bgColor rgb="FFC00000"/>
        </patternFill>
      </fill>
    </dxf>
    <dxf>
      <fill>
        <patternFill>
          <bgColor rgb="FFC00000"/>
        </patternFill>
      </fill>
    </dxf>
    <dxf>
      <fill>
        <patternFill>
          <bgColor theme="9"/>
        </patternFill>
      </fill>
    </dxf>
    <dxf>
      <fill>
        <patternFill>
          <bgColor theme="9"/>
        </patternFill>
      </fill>
    </dxf>
    <dxf>
      <fill>
        <patternFill>
          <bgColor rgb="FFC00000"/>
        </patternFill>
      </fill>
    </dxf>
    <dxf>
      <fill>
        <patternFill>
          <bgColor rgb="FFC00000"/>
        </patternFill>
      </fill>
    </dxf>
    <dxf>
      <fill>
        <patternFill>
          <bgColor theme="9"/>
        </patternFill>
      </fill>
    </dxf>
    <dxf>
      <fill>
        <patternFill>
          <bgColor rgb="FF92D050"/>
        </patternFill>
      </fill>
    </dxf>
    <dxf>
      <fill>
        <patternFill>
          <bgColor rgb="FFFFFF00"/>
        </patternFill>
      </fill>
    </dxf>
    <dxf>
      <font>
        <color rgb="FF9C0006"/>
      </font>
      <fill>
        <patternFill>
          <bgColor rgb="FFFFC7CE"/>
        </patternFill>
      </fill>
    </dxf>
    <dxf>
      <fill>
        <patternFill>
          <fgColor rgb="FF92D050"/>
          <bgColor rgb="FF92D050"/>
        </patternFill>
      </fill>
    </dxf>
    <dxf>
      <font>
        <b val="0"/>
        <i val="0"/>
        <strike val="0"/>
        <color theme="0"/>
      </font>
      <fill>
        <patternFill>
          <bgColor theme="1"/>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rgb="FF002060"/>
        </patternFill>
      </fill>
    </dxf>
    <dxf>
      <font>
        <b val="0"/>
        <i val="0"/>
        <strike val="0"/>
        <color theme="0"/>
      </font>
      <fill>
        <patternFill>
          <bgColor theme="1"/>
        </patternFill>
      </fill>
    </dxf>
    <dxf>
      <fill>
        <patternFill patternType="none">
          <bgColor auto="1"/>
        </patternFill>
      </fill>
    </dxf>
    <dxf>
      <fill>
        <patternFill patternType="none">
          <bgColor auto="1"/>
        </patternFill>
      </fill>
    </dxf>
    <dxf>
      <font>
        <color auto="1"/>
      </font>
      <fill>
        <patternFill>
          <bgColor rgb="FF92D050"/>
        </patternFill>
      </fill>
    </dxf>
    <dxf>
      <font>
        <color auto="1"/>
      </font>
      <fill>
        <patternFill>
          <bgColor rgb="FFFFFF00"/>
        </patternFill>
      </fill>
    </dxf>
    <dxf>
      <font>
        <b/>
        <i val="0"/>
        <color theme="0"/>
      </font>
      <fill>
        <patternFill>
          <bgColor rgb="FFFF0000"/>
        </patternFill>
      </fill>
    </dxf>
    <dxf>
      <font>
        <color auto="1"/>
      </font>
      <fill>
        <patternFill>
          <bgColor rgb="FF92D050"/>
        </patternFill>
      </fill>
    </dxf>
    <dxf>
      <font>
        <color auto="1"/>
      </font>
      <fill>
        <patternFill>
          <bgColor rgb="FFFFFF00"/>
        </patternFill>
      </fill>
    </dxf>
    <dxf>
      <font>
        <b/>
        <i val="0"/>
        <color theme="0"/>
      </font>
      <fill>
        <patternFill>
          <bgColor rgb="FFFF0000"/>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auto="1"/>
      </font>
    </dxf>
    <dxf>
      <font>
        <color auto="1"/>
      </font>
    </dxf>
    <dxf>
      <font>
        <color auto="1"/>
      </font>
      <fill>
        <patternFill>
          <bgColor rgb="FF92D050"/>
        </patternFill>
      </fill>
    </dxf>
    <dxf>
      <font>
        <color auto="1"/>
      </font>
    </dxf>
    <dxf>
      <font>
        <color theme="0"/>
      </font>
      <fill>
        <patternFill>
          <bgColor rgb="FFFF0000"/>
        </patternFill>
      </fill>
    </dxf>
    <dxf>
      <font>
        <color theme="1"/>
      </font>
      <fill>
        <patternFill>
          <bgColor rgb="FF92D050"/>
        </patternFill>
      </fill>
    </dxf>
    <dxf>
      <font>
        <color theme="1"/>
      </font>
      <fill>
        <patternFill>
          <bgColor rgb="FFFF0000"/>
        </patternFill>
      </fill>
    </dxf>
    <dxf>
      <font>
        <color theme="0"/>
      </font>
    </dxf>
    <dxf>
      <font>
        <color auto="1"/>
      </font>
      <fill>
        <patternFill>
          <bgColor rgb="FF92D050"/>
        </patternFill>
      </fill>
    </dxf>
    <dxf>
      <font>
        <color auto="1"/>
      </font>
      <fill>
        <patternFill>
          <bgColor rgb="FF92D050"/>
        </patternFill>
      </fill>
    </dxf>
    <dxf>
      <font>
        <color auto="1"/>
      </font>
      <fill>
        <patternFill>
          <bgColor rgb="FFFFFF00"/>
        </patternFill>
      </fill>
    </dxf>
    <dxf>
      <font>
        <b val="0"/>
        <i/>
        <color theme="0"/>
      </font>
      <fill>
        <patternFill>
          <bgColor rgb="FFFF0000"/>
        </patternFill>
      </fill>
    </dxf>
    <dxf>
      <font>
        <b/>
        <i val="0"/>
      </font>
    </dxf>
    <dxf>
      <font>
        <b/>
        <i val="0"/>
        <color auto="1"/>
      </font>
      <fill>
        <patternFill>
          <bgColor rgb="FF92D050"/>
        </patternFill>
      </fill>
    </dxf>
    <dxf>
      <font>
        <b/>
        <i val="0"/>
      </font>
    </dxf>
    <dxf>
      <font>
        <color auto="1"/>
      </font>
      <fill>
        <patternFill>
          <bgColor rgb="FF92D050"/>
        </patternFill>
      </fill>
    </dxf>
    <dxf>
      <font>
        <color theme="1"/>
      </font>
      <fill>
        <patternFill>
          <bgColor rgb="FFFFFF00"/>
        </patternFill>
      </fill>
    </dxf>
    <dxf>
      <font>
        <color auto="1"/>
      </font>
      <fill>
        <patternFill>
          <bgColor rgb="FF92D050"/>
        </patternFill>
      </fill>
    </dxf>
    <dxf>
      <font>
        <color auto="1"/>
      </font>
      <fill>
        <patternFill>
          <bgColor rgb="FFFFFF00"/>
        </patternFill>
      </fill>
    </dxf>
    <dxf>
      <font>
        <b/>
        <i val="0"/>
        <color auto="1"/>
      </font>
      <fill>
        <patternFill>
          <bgColor rgb="FFFF0000"/>
        </patternFill>
      </fill>
    </dxf>
    <dxf>
      <font>
        <b/>
        <i val="0"/>
        <color theme="0"/>
      </font>
      <fill>
        <patternFill>
          <bgColor rgb="FFFF000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b val="0"/>
        <i/>
        <color theme="0"/>
      </font>
      <fill>
        <patternFill>
          <bgColor rgb="FFFF0000"/>
        </patternFill>
      </fill>
    </dxf>
    <dxf>
      <font>
        <b/>
        <i val="0"/>
      </font>
    </dxf>
    <dxf>
      <font>
        <b/>
        <i val="0"/>
        <color auto="1"/>
      </font>
      <fill>
        <patternFill>
          <bgColor rgb="FF92D050"/>
        </patternFill>
      </fill>
    </dxf>
    <dxf>
      <font>
        <b/>
        <i val="0"/>
      </font>
    </dxf>
    <dxf>
      <font>
        <color auto="1"/>
      </font>
      <fill>
        <patternFill>
          <bgColor rgb="FF92D050"/>
        </patternFill>
      </fill>
    </dxf>
    <dxf>
      <font>
        <color theme="1"/>
      </font>
      <fill>
        <patternFill>
          <bgColor rgb="FFFFFF00"/>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auto="1"/>
      </font>
    </dxf>
    <dxf>
      <font>
        <color auto="1"/>
      </font>
    </dxf>
    <dxf>
      <font>
        <color auto="1"/>
      </font>
      <fill>
        <patternFill>
          <bgColor rgb="FF92D050"/>
        </patternFill>
      </fill>
    </dxf>
    <dxf>
      <font>
        <color auto="1"/>
      </font>
    </dxf>
    <dxf>
      <font>
        <color theme="0"/>
      </font>
      <fill>
        <patternFill>
          <bgColor rgb="FFFF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b/>
        <i val="0"/>
        <color theme="0" tint="-4.9989318521683403E-2"/>
        <name val="Calibri Light"/>
        <scheme val="none"/>
      </font>
      <fill>
        <patternFill>
          <bgColor rgb="FFC00000"/>
        </patternFill>
      </fill>
    </dxf>
    <dxf>
      <fill>
        <patternFill>
          <bgColor rgb="FF00FF00"/>
        </patternFill>
      </fill>
    </dxf>
    <dxf>
      <fill>
        <patternFill>
          <bgColor rgb="FFFFFF00"/>
        </patternFill>
      </fill>
    </dxf>
    <dxf>
      <fill>
        <patternFill>
          <bgColor rgb="FF00FF00"/>
        </patternFill>
      </fill>
    </dxf>
    <dxf>
      <fill>
        <patternFill>
          <bgColor rgb="FFFFFF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ill>
        <patternFill>
          <bgColor rgb="FFFF0000"/>
        </patternFill>
      </fill>
    </dxf>
    <dxf>
      <fill>
        <patternFill>
          <bgColor rgb="FF00B050"/>
        </patternFill>
      </fill>
    </dxf>
    <dxf>
      <fill>
        <patternFill>
          <bgColor rgb="FFFF0000"/>
        </patternFill>
      </fill>
    </dxf>
    <dxf>
      <fill>
        <patternFill>
          <bgColor rgb="FF66FF33"/>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ill>
        <patternFill>
          <bgColor rgb="FFFF0000"/>
        </patternFill>
      </fill>
    </dxf>
    <dxf>
      <fill>
        <patternFill>
          <bgColor rgb="FF00B050"/>
        </patternFill>
      </fill>
    </dxf>
    <dxf>
      <fill>
        <patternFill>
          <bgColor rgb="FFFF0000"/>
        </patternFill>
      </fill>
    </dxf>
    <dxf>
      <fill>
        <patternFill>
          <bgColor rgb="FF66FF33"/>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ill>
        <patternFill>
          <bgColor theme="7" tint="0.79998168889431442"/>
        </patternFill>
      </fill>
    </dxf>
    <dxf>
      <fill>
        <patternFill>
          <bgColor theme="7" tint="0.79998168889431442"/>
        </patternFill>
      </fill>
    </dxf>
    <dxf>
      <fill>
        <patternFill>
          <bgColor theme="5" tint="0.39994506668294322"/>
        </patternFill>
      </fill>
    </dxf>
    <dxf>
      <fill>
        <patternFill>
          <bgColor theme="7" tint="0.79998168889431442"/>
        </patternFill>
      </fill>
    </dxf>
    <dxf>
      <font>
        <b/>
        <i val="0"/>
        <color theme="1"/>
      </font>
      <fill>
        <patternFill>
          <bgColor rgb="FFFFFF00"/>
        </patternFill>
      </fill>
    </dxf>
    <dxf>
      <font>
        <b/>
        <i val="0"/>
        <color theme="0"/>
      </font>
      <fill>
        <patternFill>
          <bgColor rgb="FFFF0000"/>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val="0"/>
        <color theme="0"/>
      </font>
      <fill>
        <patternFill>
          <bgColor rgb="FFFF0000"/>
        </patternFill>
      </fill>
    </dxf>
    <dxf>
      <fill>
        <patternFill>
          <bgColor theme="7" tint="0.79998168889431442"/>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6" tint="0.79998168889431442"/>
        </patternFill>
      </fill>
    </dxf>
    <dxf>
      <fill>
        <patternFill>
          <bgColor rgb="FFFF0000"/>
        </patternFill>
      </fill>
    </dxf>
    <dxf>
      <fill>
        <patternFill>
          <bgColor rgb="FFFFFF00"/>
        </patternFill>
      </fill>
    </dxf>
    <dxf>
      <fill>
        <patternFill>
          <bgColor theme="6" tint="-0.24994659260841701"/>
        </patternFill>
      </fill>
    </dxf>
    <dxf>
      <fill>
        <patternFill>
          <bgColor rgb="FF00B050"/>
        </patternFill>
      </fill>
    </dxf>
    <dxf>
      <fill>
        <patternFill>
          <bgColor rgb="FFFF0000"/>
        </patternFill>
      </fill>
    </dxf>
    <dxf>
      <fill>
        <patternFill>
          <bgColor rgb="FFFFFF00"/>
        </patternFill>
      </fill>
    </dxf>
    <dxf>
      <fill>
        <patternFill>
          <bgColor theme="6" tint="-0.24994659260841701"/>
        </patternFill>
      </fill>
    </dxf>
    <dxf>
      <fill>
        <patternFill>
          <bgColor rgb="FF00B050"/>
        </patternFill>
      </fill>
    </dxf>
    <dxf>
      <fill>
        <patternFill>
          <bgColor rgb="FFFF0000"/>
        </patternFill>
      </fill>
    </dxf>
    <dxf>
      <fill>
        <patternFill>
          <bgColor rgb="FFFFFF00"/>
        </patternFill>
      </fill>
    </dxf>
    <dxf>
      <fill>
        <patternFill>
          <bgColor theme="6" tint="-0.24994659260841701"/>
        </patternFill>
      </fill>
    </dxf>
    <dxf>
      <fill>
        <patternFill>
          <bgColor rgb="FF00B050"/>
        </patternFill>
      </fill>
    </dxf>
    <dxf>
      <fill>
        <patternFill>
          <bgColor theme="4" tint="0.59996337778862885"/>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6" tint="0.79998168889431442"/>
        </patternFill>
      </fill>
    </dxf>
    <dxf>
      <font>
        <b/>
        <i val="0"/>
        <color theme="1"/>
      </font>
      <fill>
        <patternFill>
          <bgColor rgb="FFFFFF00"/>
        </patternFill>
      </fill>
    </dxf>
    <dxf>
      <font>
        <b/>
        <i val="0"/>
        <color theme="0"/>
      </font>
      <fill>
        <patternFill>
          <bgColor rgb="FFFF0000"/>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val="0"/>
        <color theme="0"/>
      </font>
      <fill>
        <patternFill>
          <bgColor rgb="FFFF0000"/>
        </patternFill>
      </fill>
    </dxf>
    <dxf>
      <fill>
        <patternFill>
          <bgColor rgb="FF00FF00"/>
        </patternFill>
      </fill>
    </dxf>
    <dxf>
      <fill>
        <patternFill>
          <bgColor rgb="FFFFFF00"/>
        </patternFill>
      </fill>
    </dxf>
    <dxf>
      <fill>
        <patternFill>
          <bgColor rgb="FF00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31F343"/>
        </patternFill>
      </fill>
    </dxf>
    <dxf>
      <fill>
        <patternFill>
          <bgColor rgb="FFFFFF00"/>
        </patternFill>
      </fill>
    </dxf>
    <dxf>
      <fill>
        <patternFill>
          <bgColor rgb="FF00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FF00"/>
        </patternFill>
      </fill>
    </dxf>
    <dxf>
      <fill>
        <patternFill>
          <bgColor rgb="FFFF0000"/>
        </patternFill>
      </fill>
    </dxf>
    <dxf>
      <fill>
        <patternFill>
          <bgColor rgb="FF60F52B"/>
        </patternFill>
      </fill>
    </dxf>
    <dxf>
      <fill>
        <patternFill>
          <bgColor rgb="FF24E83B"/>
        </patternFill>
      </fill>
    </dxf>
    <dxf>
      <fill>
        <patternFill>
          <bgColor rgb="FFFFFF00"/>
        </patternFill>
      </fill>
    </dxf>
    <dxf>
      <fill>
        <patternFill>
          <bgColor rgb="FFFF0000"/>
        </patternFill>
      </fill>
    </dxf>
    <dxf>
      <font>
        <strike val="0"/>
        <outline val="0"/>
        <shadow val="0"/>
        <u val="none"/>
        <vertAlign val="baseline"/>
        <sz val="11"/>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font>
        <strike val="0"/>
        <outline val="0"/>
        <shadow val="0"/>
        <u val="none"/>
        <vertAlign val="baseline"/>
        <sz val="11"/>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font>
        <strike val="0"/>
        <outline val="0"/>
        <shadow val="0"/>
        <u val="none"/>
        <vertAlign val="baseline"/>
        <sz val="11"/>
        <color theme="1"/>
        <name val="Arial"/>
        <scheme val="none"/>
      </font>
      <fill>
        <patternFill patternType="solid">
          <fgColor indexed="64"/>
          <bgColor rgb="FFC00000"/>
        </patternFill>
      </fill>
      <alignment horizontal="center" vertical="center" textRotation="0" wrapText="0" indent="0" justifyLastLine="0" shrinkToFit="0" readingOrder="0"/>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border diagonalUp="0" diagonalDown="0">
        <left/>
        <right/>
        <top style="thin">
          <color theme="4" tint="0.39997558519241921"/>
        </top>
        <bottom style="thin">
          <color theme="4" tint="0.39997558519241921"/>
        </bottom>
        <vertical/>
        <horizontal/>
      </border>
    </dxf>
    <dxf>
      <border outline="0">
        <left style="thin">
          <color theme="4" tint="0.39997558519241921"/>
        </left>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13" formatCode="0%"/>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0"/>
        <color theme="1"/>
        <name val="Calibri"/>
        <scheme val="minor"/>
      </font>
    </dxf>
  </dxfs>
  <tableStyles count="0" defaultTableStyle="TableStyleMedium2" defaultPivotStyle="PivotStyleLight16"/>
  <colors>
    <mruColors>
      <color rgb="FF99FFCC"/>
      <color rgb="FFCEE193"/>
      <color rgb="FF00FF00"/>
      <color rgb="FFD6BBEB"/>
      <color rgb="FFEE0000"/>
      <color rgb="FFFC6A28"/>
      <color rgb="FFFABA86"/>
      <color rgb="FFCBA9E5"/>
      <color rgb="FFFF65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fmlaLink="$A$15" lockText="1" noThreeD="1"/>
</file>

<file path=xl/ctrlProps/ctrlProp2.xml><?xml version="1.0" encoding="utf-8"?>
<formControlPr xmlns="http://schemas.microsoft.com/office/spreadsheetml/2009/9/main" objectType="CheckBox" checked="Checked" fmlaLink="$A$16" lockText="1" noThreeD="1"/>
</file>

<file path=xl/ctrlProps/ctrlProp3.xml><?xml version="1.0" encoding="utf-8"?>
<formControlPr xmlns="http://schemas.microsoft.com/office/spreadsheetml/2009/9/main" objectType="CheckBox" checked="Checked" fmlaLink="$A$17" lockText="1" noThreeD="1"/>
</file>

<file path=xl/ctrlProps/ctrlProp4.xml><?xml version="1.0" encoding="utf-8"?>
<formControlPr xmlns="http://schemas.microsoft.com/office/spreadsheetml/2009/9/main" objectType="CheckBox" checked="Checked" fmlaLink="$A$1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47</xdr:col>
      <xdr:colOff>195943</xdr:colOff>
      <xdr:row>19</xdr:row>
      <xdr:rowOff>97971</xdr:rowOff>
    </xdr:from>
    <xdr:to>
      <xdr:col>51</xdr:col>
      <xdr:colOff>49530</xdr:colOff>
      <xdr:row>28</xdr:row>
      <xdr:rowOff>173355</xdr:rowOff>
    </xdr:to>
    <xdr:pic>
      <xdr:nvPicPr>
        <xdr:cNvPr id="2" name="Imagen 1">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1"/>
        <a:stretch>
          <a:fillRect/>
        </a:stretch>
      </xdr:blipFill>
      <xdr:spPr>
        <a:xfrm>
          <a:off x="69298457" y="10765971"/>
          <a:ext cx="5612130" cy="29927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302079</xdr:colOff>
      <xdr:row>1</xdr:row>
      <xdr:rowOff>119745</xdr:rowOff>
    </xdr:from>
    <xdr:to>
      <xdr:col>0</xdr:col>
      <xdr:colOff>1524000</xdr:colOff>
      <xdr:row>2</xdr:row>
      <xdr:rowOff>584766</xdr:rowOff>
    </xdr:to>
    <xdr:pic>
      <xdr:nvPicPr>
        <xdr:cNvPr id="3" name="image2.jpg" descr="logo nuevo contraloria">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079" y="310245"/>
          <a:ext cx="1221921" cy="79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1955686</xdr:colOff>
      <xdr:row>96</xdr:row>
      <xdr:rowOff>1</xdr:rowOff>
    </xdr:from>
    <xdr:to>
      <xdr:col>6</xdr:col>
      <xdr:colOff>998083</xdr:colOff>
      <xdr:row>96</xdr:row>
      <xdr:rowOff>464703</xdr:rowOff>
    </xdr:to>
    <xdr:sp macro="" textlink="">
      <xdr:nvSpPr>
        <xdr:cNvPr id="2" name="2 Rectángulo redondeado">
          <a:extLst>
            <a:ext uri="{FF2B5EF4-FFF2-40B4-BE49-F238E27FC236}">
              <a16:creationId xmlns:a16="http://schemas.microsoft.com/office/drawing/2014/main" xmlns="" id="{00000000-0008-0000-0A00-000002000000}"/>
            </a:ext>
          </a:extLst>
        </xdr:cNvPr>
        <xdr:cNvSpPr/>
      </xdr:nvSpPr>
      <xdr:spPr>
        <a:xfrm>
          <a:off x="2412886" y="49366715"/>
          <a:ext cx="11702483" cy="464702"/>
        </a:xfrm>
        <a:prstGeom prst="roundRect">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solidFill>
                <a:schemeClr val="bg1"/>
              </a:solidFill>
            </a:rPr>
            <a:t>CONCEPTO</a:t>
          </a:r>
          <a:r>
            <a:rPr lang="es-CO" sz="2800" b="1" baseline="0">
              <a:solidFill>
                <a:schemeClr val="bg1"/>
              </a:solidFill>
            </a:rPr>
            <a:t> PRESUPUESTAL</a:t>
          </a:r>
          <a:endParaRPr lang="es-CO" sz="1100" b="1">
            <a:solidFill>
              <a:schemeClr val="bg1"/>
            </a:solidFill>
          </a:endParaRPr>
        </a:p>
      </xdr:txBody>
    </xdr:sp>
    <xdr:clientData/>
  </xdr:twoCellAnchor>
  <xdr:twoCellAnchor editAs="oneCell">
    <xdr:from>
      <xdr:col>1</xdr:col>
      <xdr:colOff>454478</xdr:colOff>
      <xdr:row>1</xdr:row>
      <xdr:rowOff>119745</xdr:rowOff>
    </xdr:from>
    <xdr:to>
      <xdr:col>1</xdr:col>
      <xdr:colOff>1828799</xdr:colOff>
      <xdr:row>2</xdr:row>
      <xdr:rowOff>385278</xdr:rowOff>
    </xdr:to>
    <xdr:pic>
      <xdr:nvPicPr>
        <xdr:cNvPr id="3" name="image2.jpg" descr="logo nuevo contraloria">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153" y="300720"/>
          <a:ext cx="1374321" cy="101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454478</xdr:colOff>
      <xdr:row>1</xdr:row>
      <xdr:rowOff>119745</xdr:rowOff>
    </xdr:from>
    <xdr:to>
      <xdr:col>1</xdr:col>
      <xdr:colOff>1828799</xdr:colOff>
      <xdr:row>2</xdr:row>
      <xdr:rowOff>385278</xdr:rowOff>
    </xdr:to>
    <xdr:pic>
      <xdr:nvPicPr>
        <xdr:cNvPr id="4" name="image2.jpg" descr="logo nuevo contraloria">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153" y="300720"/>
          <a:ext cx="1374321" cy="101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454478</xdr:colOff>
      <xdr:row>1</xdr:row>
      <xdr:rowOff>119745</xdr:rowOff>
    </xdr:from>
    <xdr:to>
      <xdr:col>1</xdr:col>
      <xdr:colOff>1828799</xdr:colOff>
      <xdr:row>2</xdr:row>
      <xdr:rowOff>385278</xdr:rowOff>
    </xdr:to>
    <xdr:pic>
      <xdr:nvPicPr>
        <xdr:cNvPr id="5" name="image2.jpg" descr="logo nuevo contraloria">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153" y="300720"/>
          <a:ext cx="1374321" cy="101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809625</xdr:colOff>
      <xdr:row>10</xdr:row>
      <xdr:rowOff>333375</xdr:rowOff>
    </xdr:from>
    <xdr:to>
      <xdr:col>2</xdr:col>
      <xdr:colOff>1847850</xdr:colOff>
      <xdr:row>11</xdr:row>
      <xdr:rowOff>257175</xdr:rowOff>
    </xdr:to>
    <xdr:sp macro="" textlink="">
      <xdr:nvSpPr>
        <xdr:cNvPr id="3" name="Flecha derecha 2">
          <a:extLst>
            <a:ext uri="{FF2B5EF4-FFF2-40B4-BE49-F238E27FC236}">
              <a16:creationId xmlns:a16="http://schemas.microsoft.com/office/drawing/2014/main" xmlns="" id="{00000000-0008-0000-0C00-000003000000}"/>
            </a:ext>
          </a:extLst>
        </xdr:cNvPr>
        <xdr:cNvSpPr/>
      </xdr:nvSpPr>
      <xdr:spPr>
        <a:xfrm>
          <a:off x="2990850" y="2152650"/>
          <a:ext cx="1038225" cy="342900"/>
        </a:xfrm>
        <a:prstGeom prst="rightArrow">
          <a:avLst/>
        </a:prstGeom>
        <a:solidFill>
          <a:srgbClr val="C0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225879</xdr:colOff>
      <xdr:row>1</xdr:row>
      <xdr:rowOff>176895</xdr:rowOff>
    </xdr:from>
    <xdr:to>
      <xdr:col>1</xdr:col>
      <xdr:colOff>1590675</xdr:colOff>
      <xdr:row>2</xdr:row>
      <xdr:rowOff>327591</xdr:rowOff>
    </xdr:to>
    <xdr:pic>
      <xdr:nvPicPr>
        <xdr:cNvPr id="4" name="image2.jpg" descr="logo nuevo contraloria">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829" y="367395"/>
          <a:ext cx="1364796" cy="79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521494</xdr:colOff>
      <xdr:row>1</xdr:row>
      <xdr:rowOff>178592</xdr:rowOff>
    </xdr:from>
    <xdr:to>
      <xdr:col>0</xdr:col>
      <xdr:colOff>1877986</xdr:colOff>
      <xdr:row>2</xdr:row>
      <xdr:rowOff>400049</xdr:rowOff>
    </xdr:to>
    <xdr:pic>
      <xdr:nvPicPr>
        <xdr:cNvPr id="3" name="image2.jpg" descr="logo nuevo contraloria">
          <a:extLst>
            <a:ext uri="{FF2B5EF4-FFF2-40B4-BE49-F238E27FC236}">
              <a16:creationId xmlns:a16="http://schemas.microsoft.com/office/drawing/2014/main" xmlns=""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494" y="369092"/>
          <a:ext cx="1356492" cy="869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210594</xdr:colOff>
      <xdr:row>0</xdr:row>
      <xdr:rowOff>58218</xdr:rowOff>
    </xdr:from>
    <xdr:to>
      <xdr:col>0</xdr:col>
      <xdr:colOff>1388630</xdr:colOff>
      <xdr:row>0</xdr:row>
      <xdr:rowOff>832715</xdr:rowOff>
    </xdr:to>
    <xdr:pic>
      <xdr:nvPicPr>
        <xdr:cNvPr id="2" name="image2.jpg" descr="logo nuevo contraloria">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4" y="58218"/>
          <a:ext cx="1174861" cy="771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210594</xdr:colOff>
      <xdr:row>0</xdr:row>
      <xdr:rowOff>58218</xdr:rowOff>
    </xdr:from>
    <xdr:to>
      <xdr:col>0</xdr:col>
      <xdr:colOff>1388630</xdr:colOff>
      <xdr:row>0</xdr:row>
      <xdr:rowOff>832715</xdr:rowOff>
    </xdr:to>
    <xdr:pic>
      <xdr:nvPicPr>
        <xdr:cNvPr id="3" name="image2.jpg" descr="logo nuevo contraloria">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4" y="58218"/>
          <a:ext cx="1178036" cy="774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239568</xdr:colOff>
      <xdr:row>0</xdr:row>
      <xdr:rowOff>82742</xdr:rowOff>
    </xdr:from>
    <xdr:to>
      <xdr:col>1</xdr:col>
      <xdr:colOff>1598468</xdr:colOff>
      <xdr:row>0</xdr:row>
      <xdr:rowOff>909730</xdr:rowOff>
    </xdr:to>
    <xdr:pic>
      <xdr:nvPicPr>
        <xdr:cNvPr id="2" name="image2.jpg" descr="logo nuevo contraloria">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168" y="82742"/>
          <a:ext cx="1352550" cy="826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381000</xdr:colOff>
          <xdr:row>14</xdr:row>
          <xdr:rowOff>19050</xdr:rowOff>
        </xdr:from>
        <xdr:to>
          <xdr:col>2</xdr:col>
          <xdr:colOff>2057400</xdr:colOff>
          <xdr:row>14</xdr:row>
          <xdr:rowOff>371475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xmlns="" id="{00000000-0008-0000-0F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OTRAS FORMAS DE EJECUCIÓN DEL GASTO DE LA VIGENCIA AUDITAR DIFERENTES A CONTRATACIÓN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19050</xdr:rowOff>
        </xdr:from>
        <xdr:to>
          <xdr:col>2</xdr:col>
          <xdr:colOff>1819275</xdr:colOff>
          <xdr:row>16</xdr:row>
          <xdr:rowOff>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xmlns="" id="{00000000-0008-0000-0F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CONTRATOS SUSCRITOS EN LA VIGENCIA A AUDITAR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16</xdr:row>
          <xdr:rowOff>19050</xdr:rowOff>
        </xdr:from>
        <xdr:to>
          <xdr:col>2</xdr:col>
          <xdr:colOff>1819275</xdr:colOff>
          <xdr:row>17</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xmlns="" id="{00000000-0008-0000-0F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ADICIONES A CONTRATOS SUSCRITOS EN VIGENCIAS ANTERIORES EFECTUADAS DENTRO DE LA VIGENCIA AUDITAR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17</xdr:row>
          <xdr:rowOff>19050</xdr:rowOff>
        </xdr:from>
        <xdr:to>
          <xdr:col>2</xdr:col>
          <xdr:colOff>1819275</xdr:colOff>
          <xdr:row>18</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xmlns="" id="{00000000-0008-0000-0F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CONTRATOS SUSCRITOS EN VIGENCIAS ANTERIORES CON GESTIÓN FISCAL EN LA VIGENCIA A AUDITAR </a:t>
              </a:r>
            </a:p>
          </xdr:txBody>
        </xdr:sp>
        <xdr:clientData fLocksWithSheet="0"/>
      </xdr:twoCellAnchor>
    </mc:Choice>
    <mc:Fallback/>
  </mc:AlternateContent>
  <xdr:twoCellAnchor editAs="oneCell">
    <xdr:from>
      <xdr:col>1</xdr:col>
      <xdr:colOff>239568</xdr:colOff>
      <xdr:row>0</xdr:row>
      <xdr:rowOff>82742</xdr:rowOff>
    </xdr:from>
    <xdr:to>
      <xdr:col>1</xdr:col>
      <xdr:colOff>1598468</xdr:colOff>
      <xdr:row>0</xdr:row>
      <xdr:rowOff>909730</xdr:rowOff>
    </xdr:to>
    <xdr:pic>
      <xdr:nvPicPr>
        <xdr:cNvPr id="7" name="image2.jpg" descr="logo nuevo contraloria">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168" y="82742"/>
          <a:ext cx="1358900" cy="826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527019</xdr:colOff>
      <xdr:row>0</xdr:row>
      <xdr:rowOff>62593</xdr:rowOff>
    </xdr:from>
    <xdr:to>
      <xdr:col>0</xdr:col>
      <xdr:colOff>1317171</xdr:colOff>
      <xdr:row>0</xdr:row>
      <xdr:rowOff>1038177</xdr:rowOff>
    </xdr:to>
    <xdr:pic>
      <xdr:nvPicPr>
        <xdr:cNvPr id="2" name="image2.jpg" descr="logo nuevo contraloria">
          <a:extLst>
            <a:ext uri="{FF2B5EF4-FFF2-40B4-BE49-F238E27FC236}">
              <a16:creationId xmlns:a16="http://schemas.microsoft.com/office/drawing/2014/main" xmlns=""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19" y="62593"/>
          <a:ext cx="790152" cy="97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527018</xdr:colOff>
      <xdr:row>0</xdr:row>
      <xdr:rowOff>62593</xdr:rowOff>
    </xdr:from>
    <xdr:to>
      <xdr:col>0</xdr:col>
      <xdr:colOff>1777999</xdr:colOff>
      <xdr:row>0</xdr:row>
      <xdr:rowOff>1038177</xdr:rowOff>
    </xdr:to>
    <xdr:pic>
      <xdr:nvPicPr>
        <xdr:cNvPr id="3" name="image2.jpg" descr="logo nuevo contraloria">
          <a:extLst>
            <a:ext uri="{FF2B5EF4-FFF2-40B4-BE49-F238E27FC236}">
              <a16:creationId xmlns:a16="http://schemas.microsoft.com/office/drawing/2014/main" xmlns=""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18" y="62593"/>
          <a:ext cx="1250981" cy="97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557892</xdr:colOff>
      <xdr:row>0</xdr:row>
      <xdr:rowOff>54431</xdr:rowOff>
    </xdr:from>
    <xdr:to>
      <xdr:col>2</xdr:col>
      <xdr:colOff>1360714</xdr:colOff>
      <xdr:row>1</xdr:row>
      <xdr:rowOff>235480</xdr:rowOff>
    </xdr:to>
    <xdr:pic>
      <xdr:nvPicPr>
        <xdr:cNvPr id="2" name="image2.jpg" descr="logo nuevo contraloria">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892" y="54431"/>
          <a:ext cx="802822" cy="86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491216</xdr:colOff>
      <xdr:row>0</xdr:row>
      <xdr:rowOff>54431</xdr:rowOff>
    </xdr:from>
    <xdr:to>
      <xdr:col>2</xdr:col>
      <xdr:colOff>1790700</xdr:colOff>
      <xdr:row>1</xdr:row>
      <xdr:rowOff>235480</xdr:rowOff>
    </xdr:to>
    <xdr:pic>
      <xdr:nvPicPr>
        <xdr:cNvPr id="3" name="image2.jpg" descr="logo nuevo contraloria">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216" y="54431"/>
          <a:ext cx="1299484" cy="86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513137</xdr:colOff>
      <xdr:row>0</xdr:row>
      <xdr:rowOff>84604</xdr:rowOff>
    </xdr:from>
    <xdr:to>
      <xdr:col>1</xdr:col>
      <xdr:colOff>1667384</xdr:colOff>
      <xdr:row>1</xdr:row>
      <xdr:rowOff>291352</xdr:rowOff>
    </xdr:to>
    <xdr:pic>
      <xdr:nvPicPr>
        <xdr:cNvPr id="2" name="image2.jpg" descr="logo nuevo contraloria">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137" y="84604"/>
          <a:ext cx="1154247" cy="81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409574</xdr:colOff>
      <xdr:row>0</xdr:row>
      <xdr:rowOff>123826</xdr:rowOff>
    </xdr:from>
    <xdr:to>
      <xdr:col>1</xdr:col>
      <xdr:colOff>1721067</xdr:colOff>
      <xdr:row>1</xdr:row>
      <xdr:rowOff>364135</xdr:rowOff>
    </xdr:to>
    <xdr:pic>
      <xdr:nvPicPr>
        <xdr:cNvPr id="2" name="image2.jpg" descr="logo nuevo contraloria">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4" y="123826"/>
          <a:ext cx="1311493" cy="897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255494</xdr:colOff>
      <xdr:row>0</xdr:row>
      <xdr:rowOff>59391</xdr:rowOff>
    </xdr:from>
    <xdr:to>
      <xdr:col>1</xdr:col>
      <xdr:colOff>1209675</xdr:colOff>
      <xdr:row>1</xdr:row>
      <xdr:rowOff>218066</xdr:rowOff>
    </xdr:to>
    <xdr:pic>
      <xdr:nvPicPr>
        <xdr:cNvPr id="2" name="image2.jpg" descr="logo nuevo contraloria">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094" y="59391"/>
          <a:ext cx="954181" cy="6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598713</xdr:colOff>
      <xdr:row>0</xdr:row>
      <xdr:rowOff>13608</xdr:rowOff>
    </xdr:from>
    <xdr:to>
      <xdr:col>0</xdr:col>
      <xdr:colOff>1850571</xdr:colOff>
      <xdr:row>1</xdr:row>
      <xdr:rowOff>294896</xdr:rowOff>
    </xdr:to>
    <xdr:pic>
      <xdr:nvPicPr>
        <xdr:cNvPr id="2" name="image2.jpg" descr="logo nuevo contraloria">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713" y="13608"/>
          <a:ext cx="1251858" cy="880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1098177</xdr:colOff>
      <xdr:row>172</xdr:row>
      <xdr:rowOff>44824</xdr:rowOff>
    </xdr:from>
    <xdr:to>
      <xdr:col>11</xdr:col>
      <xdr:colOff>143995</xdr:colOff>
      <xdr:row>173</xdr:row>
      <xdr:rowOff>85388</xdr:rowOff>
    </xdr:to>
    <xdr:pic>
      <xdr:nvPicPr>
        <xdr:cNvPr id="3" name="Imagen 2" descr="Interfaz de usuario gráfica, Texto, Aplicación&#10;&#10;Descripción generada automáticamente"/>
        <xdr:cNvPicPr/>
      </xdr:nvPicPr>
      <xdr:blipFill rotWithShape="1">
        <a:blip xmlns:r="http://schemas.openxmlformats.org/officeDocument/2006/relationships" r:embed="rId2"/>
        <a:srcRect l="39553" t="33435" r="38610" b="55867"/>
        <a:stretch/>
      </xdr:blipFill>
      <xdr:spPr bwMode="auto">
        <a:xfrm>
          <a:off x="16623927" y="26971999"/>
          <a:ext cx="979393" cy="221539"/>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598713</xdr:colOff>
      <xdr:row>0</xdr:row>
      <xdr:rowOff>13608</xdr:rowOff>
    </xdr:from>
    <xdr:to>
      <xdr:col>0</xdr:col>
      <xdr:colOff>1850571</xdr:colOff>
      <xdr:row>1</xdr:row>
      <xdr:rowOff>294896</xdr:rowOff>
    </xdr:to>
    <xdr:pic>
      <xdr:nvPicPr>
        <xdr:cNvPr id="2" name="image2.jpg" descr="logo nuevo contraloria">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713" y="13608"/>
          <a:ext cx="1251858" cy="875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435429</xdr:colOff>
      <xdr:row>1</xdr:row>
      <xdr:rowOff>81643</xdr:rowOff>
    </xdr:from>
    <xdr:to>
      <xdr:col>0</xdr:col>
      <xdr:colOff>1823356</xdr:colOff>
      <xdr:row>2</xdr:row>
      <xdr:rowOff>417761</xdr:rowOff>
    </xdr:to>
    <xdr:pic>
      <xdr:nvPicPr>
        <xdr:cNvPr id="2" name="image2.jpg" descr="logo nuevo contraloria">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429" y="285750"/>
          <a:ext cx="1387927" cy="975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406791</xdr:colOff>
      <xdr:row>0</xdr:row>
      <xdr:rowOff>150333</xdr:rowOff>
    </xdr:from>
    <xdr:to>
      <xdr:col>0</xdr:col>
      <xdr:colOff>1823357</xdr:colOff>
      <xdr:row>1</xdr:row>
      <xdr:rowOff>417822</xdr:rowOff>
    </xdr:to>
    <xdr:pic>
      <xdr:nvPicPr>
        <xdr:cNvPr id="2" name="image2.jpg" descr="logo nuevo contraloria">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791" y="150333"/>
          <a:ext cx="1416566" cy="1111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Roaming/Microsoft/Excel/PVCGF-04-08%20Proceso%20de%20gasto%20p&#250;blico%20(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PVCGF-%2004-13%20Instrumento%20para%20la%20Calificacio&#769;n%20a%20la%20Gestio&#769;n%20Fiscal%20AFGR%2023082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rabog/Downloads/PVCGF-04-06%20Procesos%20presupuesto%20de%20ingresos%20y%20de%20gastos%20o%20costos%20y%20gastos%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ocuments/Matrices%20Auditoria%20Financiera%20de%20gestion%20y%20resultados/PVCGF-%2004-13%20Instrumento%20para%20la%20Calificacio&#769;n%20a%20la%20Gestio&#769;n%20Fiscal%20AFGR%2023082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ers/USER/Documents/Formatos%20Auditoria%20Financiera/PVCGF-04-06%20Procesos%20presupuesto%20de%20ingresos%20y%20de%20gastos%20o%20costos%20y%20gas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ÍTICAS GASTO PÚBLICO"/>
      <sheetName val="MATERIALIDAD GASTO PÚBLICO"/>
      <sheetName val="CALIFICACION GASTO PUBLICO"/>
    </sheetNames>
    <sheetDataSet>
      <sheetData sheetId="0"/>
      <sheetData sheetId="1"/>
      <sheetData sheetId="2"/>
      <sheetData sheetId="3">
        <row r="65518">
          <cell r="A65518" t="str">
            <v>NO APLICA</v>
          </cell>
        </row>
        <row r="65519">
          <cell r="A65519" t="str">
            <v>ETAPA 1</v>
          </cell>
        </row>
        <row r="65520">
          <cell r="A65520" t="str">
            <v>ETAPA 2</v>
          </cell>
        </row>
        <row r="65521">
          <cell r="A65521" t="str">
            <v>ETAPA 3</v>
          </cell>
        </row>
        <row r="65522">
          <cell r="A65522" t="str">
            <v>ETAPA 1 Y 2</v>
          </cell>
        </row>
        <row r="65523">
          <cell r="A65523" t="str">
            <v>ETAPAS 2 Y 3</v>
          </cell>
        </row>
        <row r="65524">
          <cell r="A65524" t="str">
            <v>TODAS LAS ETAPAS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NECIMIENTO_PUBLICAS"/>
      <sheetName val="Riesgos general"/>
      <sheetName val="LISTA"/>
      <sheetName val="Riesgo muestra"/>
      <sheetName val="LISTAS"/>
      <sheetName val="2. RIESGOS DE AUDITORÍA"/>
      <sheetName val="DATOS ANÁLISIS"/>
      <sheetName val="Hoja1"/>
      <sheetName val="1. ANALÍTICA ESTADO SITUACIÓN F"/>
      <sheetName val="2. ANALÍTICA ESTADO DE RESULTAD"/>
      <sheetName val="3.MATERIALIDAD FINANCIERA"/>
      <sheetName val="4. MATERIALIDAD PRESUPUESTAL"/>
      <sheetName val="ANALÍTICAS GASTO PÚBLICO"/>
      <sheetName val="MATERIALIDAD GASTO PÚBLICO"/>
      <sheetName val="CALIFICACION GASTO PUBLICO"/>
      <sheetName val="6. PLANES Y PROYECTOS"/>
      <sheetName val="PT 09-AF MATERIALIDAD EF MCGR"/>
      <sheetName val="LISTA MATERIALIDAD CGR"/>
      <sheetName val="PT 10-AF A.HALLAZGOS OPINIÓN EF"/>
      <sheetName val="3. MATERIALIDAD FINANCIERA"/>
      <sheetName val="7. HALLAZGOS OPINIÓN_FIN"/>
      <sheetName val="8. DESEMPEÑO FINANCIERO"/>
      <sheetName val="Listas PPTO"/>
      <sheetName val="9. HALLAZGOS CONCEPTO_PRES"/>
      <sheetName val="GESTIÓN CONTRACTUAL_MIXTAS"/>
      <sheetName val="GESTIÓN CONTRACTUAL_PÚBLICAS"/>
      <sheetName val="10. GESTION FINANCIERA PUBLICAS"/>
      <sheetName val="Control"/>
      <sheetName val="Riesgos CB"/>
      <sheetName val="1. RIESGOS Y CONTROLES"/>
      <sheetName val="10. FENECIMIENTO"/>
      <sheetName val="FENECIMIENTO CUENTA"/>
      <sheetName val="11.Referencia - Marcas "/>
      <sheetName val="PLAN ESTRATÉGICO - MIXTAS"/>
      <sheetName val="GESTION FINANCIERA MIXTAS"/>
      <sheetName val="PVCGF- 04-13 Instrumento para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t="str">
            <v>1 - Fondo de Desarrollo Local de Usaquén</v>
          </cell>
        </row>
        <row r="124">
          <cell r="B124" t="str">
            <v>Activo</v>
          </cell>
        </row>
        <row r="125">
          <cell r="B125" t="str">
            <v>Pasivo</v>
          </cell>
        </row>
        <row r="126">
          <cell r="B126" t="str">
            <v>Patrimonio</v>
          </cell>
        </row>
        <row r="127">
          <cell r="B127" t="str">
            <v>Pasivo + Patrimonio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9">
          <cell r="B49">
            <v>6</v>
          </cell>
          <cell r="E49">
            <v>45000000000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A PRESUPUESTO"/>
      <sheetName val="MATERIALIDAD PRESUPUESTO"/>
      <sheetName val="INDICADORES Y HALLAZGOS "/>
      <sheetName val="Instructivo"/>
      <sheetName val="LISTAS"/>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NÁLISIS"/>
      <sheetName val="FENECIMIENTO_PUBLICAS"/>
      <sheetName val="Riesgos general"/>
      <sheetName val="LISTA"/>
      <sheetName val="Riesgo muestra"/>
      <sheetName val="LISTAS"/>
      <sheetName val="2. RIESGOS DE AUDITORÍA"/>
      <sheetName val="Hoja1"/>
      <sheetName val="1. ANALÍTICA ESTADO SITUACIÓN F"/>
      <sheetName val="2. ANALÍTICA ESTADO DE RESULTAD"/>
      <sheetName val="3.MATERIALIDAD FINANCIERA"/>
      <sheetName val="4. MATERIALIDAD PRESUPUESTAL"/>
      <sheetName val="ANALÍTICAS GASTO PÚBLICO"/>
      <sheetName val="MATERIALIDAD GASTO PÚBLICO"/>
      <sheetName val="CALIFICACION GASTO PUBLICO"/>
      <sheetName val="6. PLANES Y PROYECTOS"/>
      <sheetName val="PT 09-AF MATERIALIDAD EF MCGR"/>
      <sheetName val="LISTA MATERIALIDAD CGR"/>
      <sheetName val="PT 10-AF A.HALLAZGOS OPINIÓN EF"/>
      <sheetName val="3. MATERIALIDAD FINANCIERA"/>
      <sheetName val="7. HALLAZGOS OPINIÓN_FIN"/>
      <sheetName val="8. DESEMPEÑO FINANCIERO"/>
      <sheetName val="Listas PPTO"/>
      <sheetName val="9. HALLAZGOS CONCEPTO_PRES"/>
      <sheetName val="GESTIÓN CONTRACTUAL_MIXTAS"/>
      <sheetName val="GESTIÓN CONTRACTUAL_PÚBLICAS"/>
      <sheetName val="10. GESTION FINANCIERA PUBLICAS"/>
      <sheetName val="Control"/>
      <sheetName val="Riesgos CB"/>
      <sheetName val="1. RIESGOS Y CONTROLES"/>
      <sheetName val="10. FENECIMIENTO"/>
      <sheetName val="FENECIMIENTO CUENTA"/>
      <sheetName val="11.Referencia - Marcas "/>
      <sheetName val="PLAN ESTRATÉGICO - MIXTAS"/>
      <sheetName val="GESTION FINANCIERA MIXTAS"/>
      <sheetName val="PVCGF- 04-13 Instrumento para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A PRESUPUESTO"/>
      <sheetName val="MATERIALIDAD PRESUPUESTO"/>
      <sheetName val="INDICADORES Y HALLAZGOS "/>
      <sheetName val="Instructivo"/>
      <sheetName val="LISTAS"/>
      <sheetName val="PVCGF-04-06 Procesos presupue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olga yolanda pinzon zapata" id="{942FD41F-4206-4D99-99BE-041C37F4D8F8}" userId="a92ea1d936ca3898" providerId="Windows Live"/>
</personList>
</file>

<file path=xl/tables/table1.xml><?xml version="1.0" encoding="utf-8"?>
<table xmlns="http://schemas.openxmlformats.org/spreadsheetml/2006/main" id="14" name="TablaSujetos215" displayName="TablaSujetos215" ref="R2:V96" totalsRowShown="0" headerRowDxfId="429" dataDxfId="428">
  <autoFilter ref="R2:V96"/>
  <sortState ref="R3:U95">
    <sortCondition ref="R3:R95"/>
  </sortState>
  <tableColumns count="5">
    <tableColumn id="1" name="Sujeto de Control" dataDxfId="427"/>
    <tableColumn id="2" name="TIPO DE MATRIZ_x000a_(Identificación de la matriz a aplicar)" dataDxfId="426"/>
    <tableColumn id="3" name="TIPO_ENTIDAD" dataDxfId="425"/>
    <tableColumn id="4" name="Columna1" dataDxfId="424"/>
    <tableColumn id="5" name="Columna2" dataDxfId="423"/>
  </tableColumns>
  <tableStyleInfo name="TableStyleMedium2" showFirstColumn="0" showLastColumn="0" showRowStripes="1" showColumnStripes="0"/>
</table>
</file>

<file path=xl/tables/table10.xml><?xml version="1.0" encoding="utf-8"?>
<table xmlns="http://schemas.openxmlformats.org/spreadsheetml/2006/main" id="20" name="TablaMaxCalifPos" displayName="TablaMaxCalifPos" ref="F101:I110" totalsRowShown="0" headerRowDxfId="50" dataDxfId="48" headerRowBorderDxfId="49" tableBorderDxfId="47" headerRowCellStyle="Normal 7">
  <autoFilter ref="F101:I110"/>
  <tableColumns count="4">
    <tableColumn id="1" name="RESULTADO DEL EJERCICIO AUDITOR" dataDxfId="46" dataCellStyle="Normal 7"/>
    <tableColumn id="2" name="BAJO" dataDxfId="45" dataCellStyle="Normal 7"/>
    <tableColumn id="3" name="MEDIO" dataDxfId="44" dataCellStyle="Normal 7"/>
    <tableColumn id="4" name="ALTO" dataDxfId="43" dataCellStyle="Normal 7"/>
  </tableColumns>
  <tableStyleInfo name="TableStyleMedium2" showFirstColumn="0" showLastColumn="0" showRowStripes="1" showColumnStripes="0"/>
</table>
</file>

<file path=xl/tables/table11.xml><?xml version="1.0" encoding="utf-8"?>
<table xmlns="http://schemas.openxmlformats.org/spreadsheetml/2006/main" id="21" name="TablaMoneda" displayName="TablaMoneda" ref="B92:B94" totalsRowShown="0" headerRowDxfId="42" dataDxfId="41" headerRowCellStyle="Normal 5" dataCellStyle="Normal 5">
  <autoFilter ref="B92:B94"/>
  <tableColumns count="1">
    <tableColumn id="1" name="TIPO DE MONEDA" dataDxfId="40" dataCellStyle="Normal 5"/>
  </tableColumns>
  <tableStyleInfo name="TableStyleMedium2" showFirstColumn="0" showLastColumn="0" showRowStripes="1" showColumnStripes="0"/>
</table>
</file>

<file path=xl/tables/table12.xml><?xml version="1.0" encoding="utf-8"?>
<table xmlns="http://schemas.openxmlformats.org/spreadsheetml/2006/main" id="22" name="TablaConcepto" displayName="TablaConcepto" ref="F95:I98" totalsRowShown="0" headerRowDxfId="39" dataDxfId="38" headerRowCellStyle="Millares 4">
  <autoFilter ref="F95:I98"/>
  <tableColumns count="4">
    <tableColumn id="1" name="BAJO" dataDxfId="37"/>
    <tableColumn id="2" name="MEDIO" dataDxfId="36"/>
    <tableColumn id="3" name="ALTO" dataDxfId="35"/>
    <tableColumn id="4" name="Concepto" dataDxfId="34" dataCellStyle="Millares 4"/>
  </tableColumns>
  <tableStyleInfo name="TableStyleMedium2" showFirstColumn="0" showLastColumn="0" showRowStripes="1" showColumnStripes="0"/>
</table>
</file>

<file path=xl/tables/table13.xml><?xml version="1.0" encoding="utf-8"?>
<table xmlns="http://schemas.openxmlformats.org/spreadsheetml/2006/main" id="23" name="Dependencias" displayName="Dependencias" ref="C65379:E65414" totalsRowShown="0" headerRowDxfId="33" dataDxfId="31" headerRowBorderDxfId="32" tableBorderDxfId="30" totalsRowBorderDxfId="29">
  <autoFilter ref="C65379:E65414"/>
  <sortState ref="C65380:E65414">
    <sortCondition ref="E65381:E65416"/>
  </sortState>
  <tableColumns count="3">
    <tableColumn id="1" name="CÓDIGO" dataDxfId="28"/>
    <tableColumn id="2" name="DEPENDENCIA" dataDxfId="27"/>
    <tableColumn id="3" name="CONCATENADO" dataDxfId="26" dataCellStyle="Millares 4">
      <calculatedColumnFormula>CONCATENATE(Dependencias[[#This Row],[CÓDIGO]]," - ",Dependencias[[#This Row],[DEPENDENCIA]])</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id="24" name="Tabla11" displayName="Tabla11" ref="A65378:A65476" totalsRowShown="0" headerRowDxfId="25" dataDxfId="23" headerRowBorderDxfId="24" tableBorderDxfId="22" headerRowCellStyle="Normal_Hoja1" dataCellStyle="Normal_Hoja1">
  <autoFilter ref="A65378:A65476"/>
  <sortState ref="A65379:A65476">
    <sortCondition ref="A65381:A65479"/>
  </sortState>
  <tableColumns count="1">
    <tableColumn id="1" name="Sujetos de Control Fiscal" dataDxfId="21" dataCellStyle="Normal_Hoja1"/>
  </tableColumns>
  <tableStyleInfo name="TableStyleMedium2" showFirstColumn="0" showLastColumn="0" showRowStripes="1" showColumnStripes="0"/>
</table>
</file>

<file path=xl/tables/table2.xml><?xml version="1.0" encoding="utf-8"?>
<table xmlns="http://schemas.openxmlformats.org/spreadsheetml/2006/main" id="15" name="TablaProcesos516" displayName="TablaProcesos516" ref="W7:AE21" totalsRowShown="0">
  <tableColumns count="9">
    <tableColumn id="1" name="PROCESO" dataDxfId="422"/>
    <tableColumn id="7" name="PUBLICA con ing" dataDxfId="421" dataCellStyle="Porcentaje"/>
    <tableColumn id="8" name="PUBLICA sin ing" dataDxfId="420" dataCellStyle="Porcentaje"/>
    <tableColumn id="2" name="PUBLICA" dataDxfId="419" dataCellStyle="Porcentaje"/>
    <tableColumn id="6" name="MIXTA&gt;50 sin Ing" dataDxfId="418" dataCellStyle="Porcentaje"/>
    <tableColumn id="3" name="MIXTA&gt;50" dataDxfId="417" dataCellStyle="Porcentaje"/>
    <tableColumn id="4" name="MIXTA&lt;50" dataDxfId="416" dataCellStyle="Porcentaje"/>
    <tableColumn id="5" name="CORPORACION" dataDxfId="415"/>
    <tableColumn id="9" name="CONCEJO" dataDxfId="414"/>
  </tableColumns>
  <tableStyleInfo name="TableStyleMedium2" showFirstColumn="0" showLastColumn="0" showRowStripes="1" showColumnStripes="0"/>
</table>
</file>

<file path=xl/tables/table3.xml><?xml version="1.0" encoding="utf-8"?>
<table xmlns="http://schemas.openxmlformats.org/spreadsheetml/2006/main" id="16" name="TablaMacroprocesos43817" displayName="TablaMacroprocesos43817" ref="W2:AA5" totalsRowShown="0" tableBorderDxfId="413">
  <tableColumns count="5">
    <tableColumn id="1" name="MACROPROCESO" dataDxfId="412"/>
    <tableColumn id="2" name="PUBLICA" dataDxfId="411" dataCellStyle="Porcentaje"/>
    <tableColumn id="3" name="MIXTA&gt;50" dataDxfId="410" dataCellStyle="Porcentaje"/>
    <tableColumn id="4" name="MIXTA&lt;50" dataDxfId="409" dataCellStyle="Porcentaje"/>
    <tableColumn id="5" name="CORPORACION" dataDxfId="408"/>
  </tableColumns>
  <tableStyleInfo name="TableStyleMedium2" showFirstColumn="0" showLastColumn="0" showRowStripes="1" showColumnStripes="0"/>
</table>
</file>

<file path=xl/tables/table4.xml><?xml version="1.0" encoding="utf-8"?>
<table xmlns="http://schemas.openxmlformats.org/spreadsheetml/2006/main" id="17" name="ConceptoPresupuesto235" displayName="ConceptoPresupuesto235" ref="AV2:AW9" totalsRowShown="0" headerRowDxfId="384" dataDxfId="383">
  <autoFilter ref="AV2:AW9"/>
  <tableColumns count="2">
    <tableColumn id="1" name="CONCEPTO" dataDxfId="382"/>
    <tableColumn id="2" name="CALIFICACION" dataDxfId="381"/>
  </tableColumns>
  <tableStyleInfo name="TableStyleMedium9" showFirstColumn="0" showLastColumn="0" showRowStripes="1" showColumnStripes="0"/>
</table>
</file>

<file path=xl/tables/table5.xml><?xml version="1.0" encoding="utf-8"?>
<table xmlns="http://schemas.openxmlformats.org/spreadsheetml/2006/main" id="1" name="Hallazgos_anterior" displayName="Hallazgos_anterior" ref="I57:J62" totalsRowShown="0" headerRowDxfId="89" dataDxfId="88">
  <autoFilter ref="I57:J62"/>
  <tableColumns count="2">
    <tableColumn id="1" name="Hallazgos vigencias anteriores?" dataDxfId="87"/>
    <tableColumn id="2" name="VALOR" dataDxfId="86"/>
  </tableColumns>
  <tableStyleInfo name="TableStyleMedium2" showFirstColumn="0" showLastColumn="0" showRowStripes="1" showColumnStripes="0"/>
</table>
</file>

<file path=xl/tables/table6.xml><?xml version="1.0" encoding="utf-8"?>
<table xmlns="http://schemas.openxmlformats.org/spreadsheetml/2006/main" id="6" name="Concepto_anterior" displayName="Concepto_anterior" ref="L57:M62" totalsRowShown="0" headerRowDxfId="85" dataDxfId="84">
  <autoFilter ref="L57:M62"/>
  <tableColumns count="2">
    <tableColumn id="1" name="Conceptos Gasto vigencia anterior" dataDxfId="83"/>
    <tableColumn id="2" name="VALOR" dataDxfId="82"/>
  </tableColumns>
  <tableStyleInfo name="TableStyleMedium2" showFirstColumn="0" showLastColumn="0" showRowStripes="1" showColumnStripes="0"/>
</table>
</file>

<file path=xl/tables/table7.xml><?xml version="1.0" encoding="utf-8"?>
<table xmlns="http://schemas.openxmlformats.org/spreadsheetml/2006/main" id="7" name="Riesgo_residual" displayName="Riesgo_residual" ref="I65:J69" totalsRowShown="0" headerRowDxfId="81" dataDxfId="80">
  <autoFilter ref="I65:J69"/>
  <tableColumns count="2">
    <tableColumn id="1" name="Riesgo Residual período auditado" dataDxfId="79"/>
    <tableColumn id="2" name="VALOR" dataDxfId="78"/>
  </tableColumns>
  <tableStyleInfo name="TableStyleMedium2" showFirstColumn="0" showLastColumn="0" showRowStripes="1" showColumnStripes="0"/>
</table>
</file>

<file path=xl/tables/table8.xml><?xml version="1.0" encoding="utf-8"?>
<table xmlns="http://schemas.openxmlformats.org/spreadsheetml/2006/main" id="8" name="Diseño_Control" displayName="Diseño_Control" ref="L65:M70" totalsRowShown="0" headerRowDxfId="77" dataDxfId="76">
  <autoFilter ref="L65:M70"/>
  <tableColumns count="2">
    <tableColumn id="1" name="Calificación CFI - Gasto Público" dataDxfId="75"/>
    <tableColumn id="2" name="VALOR" dataDxfId="74"/>
  </tableColumns>
  <tableStyleInfo name="TableStyleMedium2" showFirstColumn="0" showLastColumn="0" showRowStripes="1" showColumnStripes="0"/>
</table>
</file>

<file path=xl/tables/table9.xml><?xml version="1.0" encoding="utf-8"?>
<table xmlns="http://schemas.openxmlformats.org/spreadsheetml/2006/main" id="9" name="TablaMuestra" displayName="TablaMuestra" ref="I71:O74" totalsRowShown="0" headerRowDxfId="73" dataDxfId="72">
  <autoFilter ref="I71:O74"/>
  <tableColumns count="7">
    <tableColumn id="1" name="Mínimo con Concepto Vig Anterior" dataDxfId="71"/>
    <tableColumn id="2" name="Mínimo SIN Concepto Vig Anterior" dataDxfId="70"/>
    <tableColumn id="3" name="Riesgo de Control" dataDxfId="69"/>
    <tableColumn id="5" name="MATERIALIDAD" dataDxfId="68"/>
    <tableColumn id="4" name="Muestra Mín" dataDxfId="67"/>
    <tableColumn id="6" name="Materialidad Relativa a la Muestra" dataDxfId="66"/>
    <tableColumn id="7" name="Parametro Minimo Concepto" dataDxfId="65">
      <calculatedColumnFormula>100%-TablaMuestra[[#This Row],[Materialidad Relativa a la Muestra]]</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8" dT="2024-11-15T13:23:35.48" personId="{942FD41F-4206-4D99-99BE-041C37F4D8F8}" id="{B83077C8-393B-4D90-9BB8-29A66010062B}">
    <text xml:space="preserve">Si no es posible cumplir con el tamaño mínimo de la muestra, dejar justificación en el Plan de Trabajo. </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table" Target="../tables/table9.xml"/><Relationship Id="rId2" Type="http://schemas.openxmlformats.org/officeDocument/2006/relationships/drawing" Target="../drawings/drawing1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table" Target="../tables/table8.xml"/><Relationship Id="rId5" Type="http://schemas.openxmlformats.org/officeDocument/2006/relationships/ctrlProp" Target="../ctrlProps/ctrlProp2.xml"/><Relationship Id="rId10" Type="http://schemas.openxmlformats.org/officeDocument/2006/relationships/table" Target="../tables/table7.xml"/><Relationship Id="rId4" Type="http://schemas.openxmlformats.org/officeDocument/2006/relationships/ctrlProp" Target="../ctrlProps/ctrlProp1.xml"/><Relationship Id="rId9" Type="http://schemas.openxmlformats.org/officeDocument/2006/relationships/table" Target="../tables/table6.xml"/><Relationship Id="rId1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table" Target="../tables/table10.xml"/><Relationship Id="rId7" Type="http://schemas.openxmlformats.org/officeDocument/2006/relationships/table" Target="../tables/table14.xml"/><Relationship Id="rId2" Type="http://schemas.openxmlformats.org/officeDocument/2006/relationships/vmlDrawing" Target="../drawings/vmlDrawing7.vml"/><Relationship Id="rId1" Type="http://schemas.openxmlformats.org/officeDocument/2006/relationships/drawing" Target="../drawings/drawing16.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0"/>
  <sheetViews>
    <sheetView topLeftCell="S1" workbookViewId="0">
      <selection activeCell="W14" sqref="W14"/>
    </sheetView>
  </sheetViews>
  <sheetFormatPr baseColWidth="10" defaultColWidth="11.42578125" defaultRowHeight="15" x14ac:dyDescent="0.25"/>
  <cols>
    <col min="2" max="2" width="11.42578125" customWidth="1"/>
    <col min="3" max="3" width="43.7109375" customWidth="1"/>
    <col min="4" max="4" width="66.140625" customWidth="1"/>
    <col min="6" max="6" width="81.7109375" customWidth="1"/>
    <col min="7" max="7" width="27.28515625" customWidth="1"/>
    <col min="8" max="8" width="51.28515625" customWidth="1"/>
    <col min="9" max="9" width="17.140625" customWidth="1"/>
    <col min="12" max="12" width="22.7109375" customWidth="1"/>
    <col min="13" max="13" width="16.7109375" customWidth="1"/>
    <col min="14" max="14" width="14.28515625" customWidth="1"/>
    <col min="15" max="15" width="11.42578125" customWidth="1"/>
    <col min="16" max="17" width="31.7109375" customWidth="1"/>
    <col min="18" max="18" width="63.7109375" customWidth="1"/>
    <col min="19" max="19" width="15.7109375" customWidth="1"/>
    <col min="20" max="20" width="20.42578125" customWidth="1"/>
    <col min="21" max="21" width="17.42578125" customWidth="1"/>
    <col min="22" max="22" width="7.7109375" customWidth="1"/>
    <col min="23" max="23" width="23.42578125" customWidth="1"/>
    <col min="24" max="24" width="16.140625" customWidth="1"/>
    <col min="25" max="25" width="15.7109375" customWidth="1"/>
    <col min="26" max="26" width="16.140625" customWidth="1"/>
    <col min="27" max="27" width="15.7109375" customWidth="1"/>
    <col min="28" max="28" width="11.28515625" customWidth="1"/>
    <col min="29" max="29" width="11.42578125" customWidth="1"/>
    <col min="30" max="30" width="14.7109375" customWidth="1"/>
    <col min="31" max="31" width="15.140625" customWidth="1"/>
    <col min="34" max="34" width="25.140625" customWidth="1"/>
  </cols>
  <sheetData>
    <row r="1" spans="1:34" ht="16.5" customHeight="1" x14ac:dyDescent="0.25">
      <c r="A1" s="30"/>
      <c r="B1" s="30"/>
      <c r="C1" s="30"/>
      <c r="D1" s="30"/>
      <c r="E1" s="30"/>
      <c r="F1" s="30"/>
      <c r="G1" s="30"/>
      <c r="H1" s="30"/>
      <c r="I1" s="30"/>
      <c r="J1" s="30"/>
      <c r="K1" s="30"/>
      <c r="L1" s="30"/>
      <c r="M1" s="30"/>
      <c r="N1" s="30"/>
      <c r="O1" s="30"/>
      <c r="P1" s="30"/>
      <c r="Q1" s="30"/>
      <c r="R1" s="30"/>
    </row>
    <row r="2" spans="1:34" ht="16.5" customHeight="1" x14ac:dyDescent="0.25">
      <c r="A2" s="30"/>
      <c r="B2" s="30" t="s">
        <v>302</v>
      </c>
      <c r="C2" s="30" t="s">
        <v>303</v>
      </c>
      <c r="D2" s="30" t="s">
        <v>304</v>
      </c>
      <c r="E2" s="30"/>
      <c r="F2" s="30" t="s">
        <v>468</v>
      </c>
      <c r="G2" s="30" t="s">
        <v>469</v>
      </c>
      <c r="H2" s="30" t="s">
        <v>303</v>
      </c>
      <c r="I2" s="30" t="s">
        <v>470</v>
      </c>
      <c r="K2" s="254"/>
      <c r="L2" s="1695" t="s">
        <v>200</v>
      </c>
      <c r="M2" s="1695" t="s">
        <v>471</v>
      </c>
      <c r="N2" s="1695"/>
      <c r="O2" s="30"/>
      <c r="P2" s="255" t="s">
        <v>472</v>
      </c>
      <c r="Q2" s="256"/>
      <c r="R2" s="257" t="s">
        <v>473</v>
      </c>
      <c r="S2" s="257" t="s">
        <v>474</v>
      </c>
      <c r="T2" s="257" t="s">
        <v>475</v>
      </c>
      <c r="U2" s="257" t="s">
        <v>476</v>
      </c>
      <c r="V2" s="257" t="s">
        <v>477</v>
      </c>
      <c r="W2" s="258" t="s">
        <v>478</v>
      </c>
      <c r="X2" s="259" t="s">
        <v>479</v>
      </c>
      <c r="Y2" s="259" t="s">
        <v>480</v>
      </c>
      <c r="Z2" s="259" t="s">
        <v>481</v>
      </c>
      <c r="AA2" s="260" t="s">
        <v>482</v>
      </c>
    </row>
    <row r="3" spans="1:34" ht="16.5" customHeight="1" x14ac:dyDescent="0.25">
      <c r="A3" s="30"/>
      <c r="B3" s="30">
        <v>100000</v>
      </c>
      <c r="C3" s="30" t="s">
        <v>306</v>
      </c>
      <c r="D3" s="30" t="s">
        <v>483</v>
      </c>
      <c r="E3" s="30"/>
      <c r="F3" s="30" t="s">
        <v>484</v>
      </c>
      <c r="G3" s="30" t="s">
        <v>485</v>
      </c>
      <c r="H3" s="30" t="s">
        <v>486</v>
      </c>
      <c r="I3" s="30" t="s">
        <v>487</v>
      </c>
      <c r="K3" s="254"/>
      <c r="L3" s="1695"/>
      <c r="M3" s="261" t="s">
        <v>488</v>
      </c>
      <c r="N3" s="261" t="s">
        <v>489</v>
      </c>
      <c r="P3" s="262" t="s">
        <v>470</v>
      </c>
      <c r="Q3" s="263" t="s">
        <v>490</v>
      </c>
      <c r="R3" s="30" t="s">
        <v>484</v>
      </c>
      <c r="S3" s="30" t="s">
        <v>491</v>
      </c>
      <c r="T3" s="264" t="s">
        <v>492</v>
      </c>
      <c r="U3" s="30" t="s">
        <v>493</v>
      </c>
      <c r="V3" s="30" t="s">
        <v>494</v>
      </c>
      <c r="W3" s="258" t="s">
        <v>495</v>
      </c>
      <c r="X3" s="265">
        <v>0.35</v>
      </c>
      <c r="Y3" s="265">
        <v>0.45</v>
      </c>
      <c r="Z3" s="266">
        <v>0.6</v>
      </c>
      <c r="AA3" s="266">
        <v>0.6</v>
      </c>
    </row>
    <row r="4" spans="1:34" ht="16.5" customHeight="1" x14ac:dyDescent="0.25">
      <c r="A4" s="30"/>
      <c r="B4" s="30">
        <v>110000</v>
      </c>
      <c r="C4" s="30" t="s">
        <v>308</v>
      </c>
      <c r="D4" s="30" t="s">
        <v>496</v>
      </c>
      <c r="E4" s="30"/>
      <c r="F4" s="30" t="s">
        <v>497</v>
      </c>
      <c r="G4" s="30" t="s">
        <v>485</v>
      </c>
      <c r="H4" s="30" t="s">
        <v>498</v>
      </c>
      <c r="I4" s="30" t="s">
        <v>487</v>
      </c>
      <c r="K4" s="254"/>
      <c r="L4" s="267" t="s">
        <v>499</v>
      </c>
      <c r="M4" s="268">
        <v>0.75</v>
      </c>
      <c r="N4" s="268">
        <v>1</v>
      </c>
      <c r="O4" s="30"/>
      <c r="P4" s="262" t="s">
        <v>500</v>
      </c>
      <c r="Q4" s="269"/>
      <c r="R4" s="30" t="s">
        <v>497</v>
      </c>
      <c r="S4" s="30" t="s">
        <v>491</v>
      </c>
      <c r="T4" s="264" t="s">
        <v>492</v>
      </c>
      <c r="U4" s="30" t="s">
        <v>493</v>
      </c>
      <c r="V4" s="30"/>
      <c r="W4" s="258" t="s">
        <v>501</v>
      </c>
      <c r="X4" s="265">
        <v>0.25</v>
      </c>
      <c r="Y4" s="265">
        <v>0.15</v>
      </c>
      <c r="Z4" s="265" t="s">
        <v>1452</v>
      </c>
      <c r="AA4" s="265" t="s">
        <v>1452</v>
      </c>
    </row>
    <row r="5" spans="1:34" ht="16.5" customHeight="1" x14ac:dyDescent="0.25">
      <c r="A5" s="30"/>
      <c r="B5" s="30">
        <v>12000</v>
      </c>
      <c r="C5" s="30" t="s">
        <v>310</v>
      </c>
      <c r="D5" s="30" t="s">
        <v>502</v>
      </c>
      <c r="E5" s="30"/>
      <c r="F5" s="30" t="s">
        <v>503</v>
      </c>
      <c r="G5" s="30" t="s">
        <v>504</v>
      </c>
      <c r="H5" s="30" t="s">
        <v>496</v>
      </c>
      <c r="I5" s="270" t="s">
        <v>505</v>
      </c>
      <c r="J5" s="271"/>
      <c r="K5" s="254"/>
      <c r="L5" s="272" t="s">
        <v>289</v>
      </c>
      <c r="M5" s="268">
        <v>0.65</v>
      </c>
      <c r="N5" s="268">
        <v>0.75</v>
      </c>
      <c r="O5" s="30"/>
      <c r="P5" s="262" t="s">
        <v>506</v>
      </c>
      <c r="Q5" s="269"/>
      <c r="R5" s="30" t="s">
        <v>503</v>
      </c>
      <c r="S5" s="30" t="s">
        <v>507</v>
      </c>
      <c r="T5" s="273" t="s">
        <v>508</v>
      </c>
      <c r="U5" s="30" t="s">
        <v>509</v>
      </c>
      <c r="V5" s="30"/>
      <c r="W5" s="274" t="s">
        <v>510</v>
      </c>
      <c r="X5" s="275">
        <v>0.4</v>
      </c>
      <c r="Y5" s="275">
        <v>0.4</v>
      </c>
      <c r="Z5" s="275">
        <v>0.4</v>
      </c>
      <c r="AA5" s="275">
        <v>0.4</v>
      </c>
    </row>
    <row r="6" spans="1:34" ht="16.5" customHeight="1" x14ac:dyDescent="0.25">
      <c r="A6" s="30"/>
      <c r="B6" s="30">
        <v>120000</v>
      </c>
      <c r="C6" s="30" t="s">
        <v>312</v>
      </c>
      <c r="D6" s="30" t="s">
        <v>511</v>
      </c>
      <c r="E6" s="30"/>
      <c r="F6" s="30" t="s">
        <v>512</v>
      </c>
      <c r="G6" s="30" t="s">
        <v>513</v>
      </c>
      <c r="H6" s="30" t="s">
        <v>496</v>
      </c>
      <c r="I6" s="270" t="s">
        <v>505</v>
      </c>
      <c r="J6" s="271"/>
      <c r="K6" s="254"/>
      <c r="L6" s="267" t="s">
        <v>514</v>
      </c>
      <c r="M6" s="268">
        <v>0</v>
      </c>
      <c r="N6" s="268">
        <v>0.65</v>
      </c>
      <c r="O6" s="30"/>
      <c r="P6" s="262" t="s">
        <v>515</v>
      </c>
      <c r="Q6" s="263" t="s">
        <v>490</v>
      </c>
      <c r="R6" s="30" t="s">
        <v>512</v>
      </c>
      <c r="S6" s="30" t="s">
        <v>491</v>
      </c>
      <c r="T6" s="273" t="s">
        <v>516</v>
      </c>
      <c r="U6" s="30" t="s">
        <v>509</v>
      </c>
      <c r="V6" s="30"/>
      <c r="W6" s="274"/>
      <c r="X6" s="276"/>
      <c r="Y6" s="276"/>
      <c r="Z6" s="277"/>
      <c r="AA6" s="277"/>
      <c r="AB6" s="277"/>
      <c r="AC6" s="277"/>
      <c r="AD6" s="277"/>
    </row>
    <row r="7" spans="1:34" ht="16.5" customHeight="1" x14ac:dyDescent="0.25">
      <c r="A7" s="30"/>
      <c r="B7" s="30">
        <v>12101</v>
      </c>
      <c r="C7" s="30" t="s">
        <v>314</v>
      </c>
      <c r="D7" s="30" t="s">
        <v>486</v>
      </c>
      <c r="E7" s="30"/>
      <c r="F7" s="30" t="s">
        <v>517</v>
      </c>
      <c r="G7" s="30" t="s">
        <v>513</v>
      </c>
      <c r="H7" s="30" t="s">
        <v>496</v>
      </c>
      <c r="I7" s="270" t="s">
        <v>505</v>
      </c>
      <c r="J7" s="271"/>
      <c r="K7" s="254"/>
      <c r="L7" s="267" t="s">
        <v>518</v>
      </c>
      <c r="M7" s="1696" t="s">
        <v>519</v>
      </c>
      <c r="N7" s="1696"/>
      <c r="O7" s="30"/>
      <c r="P7" s="278" t="s">
        <v>520</v>
      </c>
      <c r="Q7" s="30"/>
      <c r="R7" s="30" t="s">
        <v>517</v>
      </c>
      <c r="S7" s="30" t="s">
        <v>491</v>
      </c>
      <c r="T7" s="273" t="s">
        <v>516</v>
      </c>
      <c r="U7" s="30" t="s">
        <v>509</v>
      </c>
      <c r="V7" s="30"/>
      <c r="W7" s="279" t="s">
        <v>521</v>
      </c>
      <c r="X7" s="257" t="s">
        <v>492</v>
      </c>
      <c r="Y7" s="257" t="s">
        <v>516</v>
      </c>
      <c r="Z7" s="257" t="s">
        <v>479</v>
      </c>
      <c r="AA7" s="257" t="s">
        <v>522</v>
      </c>
      <c r="AB7" s="257" t="s">
        <v>480</v>
      </c>
      <c r="AC7" s="257" t="s">
        <v>481</v>
      </c>
      <c r="AD7" t="s">
        <v>482</v>
      </c>
      <c r="AE7" t="s">
        <v>508</v>
      </c>
      <c r="AG7" s="280" t="s">
        <v>523</v>
      </c>
      <c r="AH7" s="281" t="s">
        <v>524</v>
      </c>
    </row>
    <row r="8" spans="1:34" ht="16.5" customHeight="1" x14ac:dyDescent="0.25">
      <c r="A8" s="30"/>
      <c r="B8" s="30">
        <v>12102</v>
      </c>
      <c r="C8" s="30" t="s">
        <v>316</v>
      </c>
      <c r="D8" s="30" t="s">
        <v>525</v>
      </c>
      <c r="E8" s="30"/>
      <c r="F8" s="30" t="s">
        <v>526</v>
      </c>
      <c r="G8" s="30" t="s">
        <v>513</v>
      </c>
      <c r="H8" s="30" t="s">
        <v>496</v>
      </c>
      <c r="I8" s="30" t="s">
        <v>487</v>
      </c>
      <c r="J8" s="271"/>
      <c r="K8" s="254"/>
      <c r="L8" s="271"/>
      <c r="M8" s="271"/>
      <c r="N8" s="271"/>
      <c r="O8" s="30"/>
      <c r="P8" s="278" t="s">
        <v>527</v>
      </c>
      <c r="Q8" s="30"/>
      <c r="R8" s="30" t="s">
        <v>526</v>
      </c>
      <c r="S8" s="30" t="s">
        <v>491</v>
      </c>
      <c r="T8" s="273" t="s">
        <v>516</v>
      </c>
      <c r="U8" s="30" t="s">
        <v>509</v>
      </c>
      <c r="V8" s="30"/>
      <c r="W8" s="257" t="s">
        <v>528</v>
      </c>
      <c r="X8" s="266">
        <v>1</v>
      </c>
      <c r="Y8" s="266">
        <v>1</v>
      </c>
      <c r="Z8" s="266">
        <v>0.6</v>
      </c>
      <c r="AA8" s="266">
        <v>0.4</v>
      </c>
      <c r="AB8" s="266">
        <v>0.4</v>
      </c>
      <c r="AC8" s="266">
        <v>0.4</v>
      </c>
      <c r="AD8" s="266">
        <v>1</v>
      </c>
      <c r="AE8" s="266">
        <v>1</v>
      </c>
      <c r="AF8" s="266"/>
      <c r="AG8" t="s">
        <v>529</v>
      </c>
      <c r="AH8" t="s">
        <v>288</v>
      </c>
    </row>
    <row r="9" spans="1:34" ht="16.5" customHeight="1" x14ac:dyDescent="0.25">
      <c r="A9" s="30"/>
      <c r="B9" s="30">
        <v>12103</v>
      </c>
      <c r="C9" s="30" t="s">
        <v>318</v>
      </c>
      <c r="D9" s="30" t="s">
        <v>530</v>
      </c>
      <c r="E9" s="30"/>
      <c r="F9" s="30" t="s">
        <v>531</v>
      </c>
      <c r="G9" s="30" t="s">
        <v>485</v>
      </c>
      <c r="H9" s="30" t="s">
        <v>532</v>
      </c>
      <c r="I9" s="30" t="s">
        <v>487</v>
      </c>
      <c r="J9" s="271"/>
      <c r="K9" s="254"/>
      <c r="L9" s="271"/>
      <c r="M9" s="271"/>
      <c r="N9" s="271"/>
      <c r="O9" s="30"/>
      <c r="P9" s="30"/>
      <c r="Q9" s="30"/>
      <c r="R9" s="30" t="s">
        <v>531</v>
      </c>
      <c r="S9" s="30" t="s">
        <v>491</v>
      </c>
      <c r="T9" s="264" t="s">
        <v>492</v>
      </c>
      <c r="U9" s="30" t="s">
        <v>493</v>
      </c>
      <c r="V9" s="30"/>
      <c r="W9" s="257" t="s">
        <v>1941</v>
      </c>
      <c r="X9" s="266">
        <v>1</v>
      </c>
      <c r="Y9" s="266">
        <v>1</v>
      </c>
      <c r="Z9" s="1609">
        <f>+FENECIMIENTO!$W$12</f>
        <v>0.12607627702312124</v>
      </c>
      <c r="AA9" s="266">
        <v>0.4</v>
      </c>
      <c r="AB9" s="266">
        <v>0.4</v>
      </c>
      <c r="AC9" s="266">
        <v>0.4</v>
      </c>
      <c r="AD9" s="266">
        <v>1</v>
      </c>
      <c r="AE9" s="266">
        <v>1</v>
      </c>
      <c r="AF9" s="265"/>
      <c r="AG9" t="s">
        <v>534</v>
      </c>
      <c r="AH9" t="s">
        <v>290</v>
      </c>
    </row>
    <row r="10" spans="1:34" ht="16.5" customHeight="1" x14ac:dyDescent="0.25">
      <c r="A10" s="30"/>
      <c r="B10" s="30">
        <v>12104</v>
      </c>
      <c r="C10" s="30" t="s">
        <v>320</v>
      </c>
      <c r="D10" s="30" t="s">
        <v>535</v>
      </c>
      <c r="E10" s="30"/>
      <c r="F10" s="30" t="s">
        <v>536</v>
      </c>
      <c r="G10" s="30" t="s">
        <v>513</v>
      </c>
      <c r="H10" s="30" t="s">
        <v>496</v>
      </c>
      <c r="I10" s="270" t="s">
        <v>505</v>
      </c>
      <c r="J10" s="271"/>
      <c r="K10" s="254"/>
      <c r="L10" s="271"/>
      <c r="M10" s="271"/>
      <c r="N10" s="271"/>
      <c r="O10" s="30"/>
      <c r="P10" s="30"/>
      <c r="Q10" s="30"/>
      <c r="R10" s="30" t="s">
        <v>536</v>
      </c>
      <c r="S10" s="30" t="s">
        <v>491</v>
      </c>
      <c r="T10" s="273" t="s">
        <v>516</v>
      </c>
      <c r="U10" s="30" t="s">
        <v>509</v>
      </c>
      <c r="V10" s="30"/>
      <c r="W10" s="257" t="s">
        <v>1933</v>
      </c>
      <c r="X10" s="266">
        <v>1</v>
      </c>
      <c r="Y10" s="266">
        <v>1</v>
      </c>
      <c r="Z10" s="1609">
        <f>+FENECIMIENTO!$W$12</f>
        <v>0.12607627702312124</v>
      </c>
      <c r="AA10" s="266">
        <v>0.4</v>
      </c>
      <c r="AB10" s="266">
        <v>0.4</v>
      </c>
      <c r="AC10" s="266">
        <v>0.4</v>
      </c>
      <c r="AD10" s="266">
        <v>1</v>
      </c>
      <c r="AE10" s="266">
        <v>1</v>
      </c>
      <c r="AF10" s="265"/>
      <c r="AG10" t="s">
        <v>538</v>
      </c>
      <c r="AH10" t="s">
        <v>287</v>
      </c>
    </row>
    <row r="11" spans="1:34" ht="16.5" customHeight="1" x14ac:dyDescent="0.25">
      <c r="A11" s="30"/>
      <c r="B11" s="30">
        <v>12105</v>
      </c>
      <c r="C11" s="30" t="s">
        <v>322</v>
      </c>
      <c r="D11" s="30" t="s">
        <v>539</v>
      </c>
      <c r="E11" s="30"/>
      <c r="F11" s="30" t="s">
        <v>540</v>
      </c>
      <c r="G11" s="30" t="s">
        <v>513</v>
      </c>
      <c r="H11" s="30" t="s">
        <v>541</v>
      </c>
      <c r="I11" s="30" t="s">
        <v>487</v>
      </c>
      <c r="J11" s="271"/>
      <c r="K11" s="254"/>
      <c r="L11" s="271"/>
      <c r="M11" s="271"/>
      <c r="N11" s="271"/>
      <c r="O11" s="30"/>
      <c r="P11" s="30"/>
      <c r="Q11" s="282" t="s">
        <v>406</v>
      </c>
      <c r="R11" s="30" t="s">
        <v>540</v>
      </c>
      <c r="S11" s="30" t="s">
        <v>542</v>
      </c>
      <c r="T11" s="273" t="s">
        <v>479</v>
      </c>
      <c r="U11" s="30" t="s">
        <v>493</v>
      </c>
      <c r="V11" s="30"/>
      <c r="W11" s="257" t="s">
        <v>1908</v>
      </c>
      <c r="X11" s="266">
        <v>1</v>
      </c>
      <c r="Y11" s="266">
        <v>1</v>
      </c>
      <c r="Z11" s="1609">
        <f>+FENECIMIENTO!$W$13</f>
        <v>0.47392372297687874</v>
      </c>
      <c r="AA11" s="266">
        <v>0.4</v>
      </c>
      <c r="AB11" s="266">
        <v>0.4</v>
      </c>
      <c r="AC11" s="266">
        <v>0.4</v>
      </c>
      <c r="AD11" s="266">
        <v>1</v>
      </c>
      <c r="AE11" s="266">
        <v>1</v>
      </c>
      <c r="AF11" s="265"/>
      <c r="AG11" t="s">
        <v>544</v>
      </c>
    </row>
    <row r="12" spans="1:34" ht="16.5" customHeight="1" x14ac:dyDescent="0.25">
      <c r="A12" s="30"/>
      <c r="B12" s="30">
        <v>12106</v>
      </c>
      <c r="C12" s="30" t="s">
        <v>324</v>
      </c>
      <c r="D12" s="30" t="s">
        <v>545</v>
      </c>
      <c r="E12" s="30"/>
      <c r="F12" s="30" t="s">
        <v>546</v>
      </c>
      <c r="G12" s="30" t="s">
        <v>513</v>
      </c>
      <c r="H12" s="30" t="s">
        <v>547</v>
      </c>
      <c r="I12" s="270" t="s">
        <v>505</v>
      </c>
      <c r="J12" s="271"/>
      <c r="K12" s="254"/>
      <c r="L12" s="271"/>
      <c r="M12" s="271"/>
      <c r="N12" s="271"/>
      <c r="O12" s="30"/>
      <c r="P12" s="30"/>
      <c r="Q12" s="30"/>
      <c r="R12" s="30" t="s">
        <v>546</v>
      </c>
      <c r="S12" s="30" t="s">
        <v>491</v>
      </c>
      <c r="T12" s="273" t="s">
        <v>479</v>
      </c>
      <c r="U12" s="30" t="s">
        <v>493</v>
      </c>
      <c r="V12" s="30"/>
      <c r="W12" s="257" t="s">
        <v>1931</v>
      </c>
      <c r="X12" s="266">
        <v>1</v>
      </c>
      <c r="Y12" s="266">
        <v>1</v>
      </c>
      <c r="Z12" s="1609">
        <f>+FENECIMIENTO!$W$13</f>
        <v>0.47392372297687874</v>
      </c>
      <c r="AA12" s="266">
        <v>0.4</v>
      </c>
      <c r="AB12" s="266">
        <v>0.4</v>
      </c>
      <c r="AC12" s="266">
        <v>0.4</v>
      </c>
      <c r="AD12" s="266">
        <v>1</v>
      </c>
      <c r="AE12" s="266">
        <v>1</v>
      </c>
      <c r="AF12" s="283"/>
      <c r="AG12" t="s">
        <v>460</v>
      </c>
    </row>
    <row r="13" spans="1:34" ht="16.5" customHeight="1" x14ac:dyDescent="0.25">
      <c r="A13" s="30"/>
      <c r="B13" s="30">
        <v>12107</v>
      </c>
      <c r="C13" s="30" t="s">
        <v>326</v>
      </c>
      <c r="D13" s="30" t="s">
        <v>548</v>
      </c>
      <c r="E13" s="30"/>
      <c r="F13" s="30" t="s">
        <v>549</v>
      </c>
      <c r="G13" s="30" t="s">
        <v>513</v>
      </c>
      <c r="H13" s="30" t="s">
        <v>550</v>
      </c>
      <c r="I13" s="30" t="s">
        <v>487</v>
      </c>
      <c r="J13" s="271"/>
      <c r="K13" s="254"/>
      <c r="L13" s="271"/>
      <c r="M13" s="271"/>
      <c r="N13" s="271"/>
      <c r="O13" s="30"/>
      <c r="P13" s="30"/>
      <c r="Q13" s="30"/>
      <c r="R13" s="30" t="s">
        <v>549</v>
      </c>
      <c r="S13" s="30" t="s">
        <v>491</v>
      </c>
      <c r="T13" s="273" t="s">
        <v>479</v>
      </c>
      <c r="U13" s="30" t="s">
        <v>493</v>
      </c>
      <c r="V13" s="30"/>
      <c r="W13" s="257" t="s">
        <v>533</v>
      </c>
      <c r="X13" s="265" t="s">
        <v>1452</v>
      </c>
      <c r="Y13" s="265" t="s">
        <v>1452</v>
      </c>
      <c r="Z13" s="265">
        <v>0.4</v>
      </c>
      <c r="AA13" s="265">
        <v>0.6</v>
      </c>
      <c r="AB13" s="265">
        <v>0.6</v>
      </c>
      <c r="AC13" s="265">
        <v>0.6</v>
      </c>
      <c r="AD13" s="265" t="s">
        <v>1452</v>
      </c>
      <c r="AE13" s="265" t="s">
        <v>1452</v>
      </c>
      <c r="AF13" s="283"/>
    </row>
    <row r="14" spans="1:34" ht="16.5" customHeight="1" x14ac:dyDescent="0.25">
      <c r="A14" s="30"/>
      <c r="B14" s="30">
        <v>12108</v>
      </c>
      <c r="C14" s="30" t="s">
        <v>328</v>
      </c>
      <c r="D14" s="30" t="s">
        <v>551</v>
      </c>
      <c r="E14" s="30"/>
      <c r="F14" s="284" t="s">
        <v>552</v>
      </c>
      <c r="G14" s="30" t="s">
        <v>513</v>
      </c>
      <c r="H14" s="30" t="s">
        <v>483</v>
      </c>
      <c r="I14" s="270" t="s">
        <v>505</v>
      </c>
      <c r="J14" s="271"/>
      <c r="K14" s="254"/>
      <c r="L14" s="271"/>
      <c r="M14" s="271"/>
      <c r="N14" s="271"/>
      <c r="O14" s="30"/>
      <c r="P14" s="30"/>
      <c r="Q14" s="30"/>
      <c r="R14" s="285" t="s">
        <v>552</v>
      </c>
      <c r="S14" s="278" t="s">
        <v>491</v>
      </c>
      <c r="T14" s="273" t="s">
        <v>479</v>
      </c>
      <c r="U14" s="30" t="s">
        <v>493</v>
      </c>
      <c r="V14" s="30"/>
      <c r="W14" s="257" t="s">
        <v>1942</v>
      </c>
      <c r="X14" s="265" t="s">
        <v>1452</v>
      </c>
      <c r="Y14" s="265" t="s">
        <v>1452</v>
      </c>
      <c r="Z14" s="265">
        <v>0.4</v>
      </c>
      <c r="AA14" s="265">
        <v>0.6</v>
      </c>
      <c r="AB14" s="265">
        <v>0.6</v>
      </c>
      <c r="AC14" s="265">
        <v>0.6</v>
      </c>
      <c r="AD14" s="265" t="s">
        <v>1452</v>
      </c>
      <c r="AE14" s="265" t="s">
        <v>1452</v>
      </c>
      <c r="AF14" s="283"/>
    </row>
    <row r="15" spans="1:34" ht="16.5" customHeight="1" x14ac:dyDescent="0.25">
      <c r="A15" s="30"/>
      <c r="B15" s="30">
        <v>12109</v>
      </c>
      <c r="C15" s="30" t="s">
        <v>330</v>
      </c>
      <c r="D15" s="30" t="s">
        <v>553</v>
      </c>
      <c r="E15" s="30"/>
      <c r="F15" s="30" t="s">
        <v>554</v>
      </c>
      <c r="G15" s="30" t="s">
        <v>513</v>
      </c>
      <c r="H15" s="30" t="s">
        <v>555</v>
      </c>
      <c r="I15" s="270" t="s">
        <v>505</v>
      </c>
      <c r="J15" s="30"/>
      <c r="K15" s="30"/>
      <c r="L15" s="30"/>
      <c r="M15" s="30"/>
      <c r="N15" s="30"/>
      <c r="O15" s="30"/>
      <c r="P15" s="30"/>
      <c r="Q15" s="30"/>
      <c r="R15" s="30" t="s">
        <v>554</v>
      </c>
      <c r="S15" s="30" t="s">
        <v>491</v>
      </c>
      <c r="T15" s="273" t="s">
        <v>516</v>
      </c>
      <c r="U15" s="30" t="s">
        <v>509</v>
      </c>
      <c r="V15" s="30"/>
      <c r="W15" s="257" t="s">
        <v>1935</v>
      </c>
      <c r="X15" s="265" t="s">
        <v>1452</v>
      </c>
      <c r="Y15" s="265" t="s">
        <v>1452</v>
      </c>
      <c r="Z15" s="265">
        <v>0.4</v>
      </c>
      <c r="AA15" s="265">
        <v>0.6</v>
      </c>
      <c r="AB15" s="265">
        <v>0.6</v>
      </c>
      <c r="AC15" s="265">
        <v>0.6</v>
      </c>
      <c r="AD15" s="265" t="s">
        <v>1452</v>
      </c>
      <c r="AE15" s="265" t="s">
        <v>1452</v>
      </c>
      <c r="AF15" s="287"/>
    </row>
    <row r="16" spans="1:34" ht="16.5" customHeight="1" x14ac:dyDescent="0.25">
      <c r="A16" s="30"/>
      <c r="B16" s="30">
        <v>12110</v>
      </c>
      <c r="C16" s="30" t="s">
        <v>332</v>
      </c>
      <c r="D16" s="30" t="s">
        <v>498</v>
      </c>
      <c r="E16" s="30"/>
      <c r="F16" s="30" t="s">
        <v>556</v>
      </c>
      <c r="G16" s="30" t="s">
        <v>513</v>
      </c>
      <c r="H16" s="30" t="s">
        <v>557</v>
      </c>
      <c r="I16" s="270" t="s">
        <v>505</v>
      </c>
      <c r="J16" s="30"/>
      <c r="K16" s="30"/>
      <c r="L16" s="30"/>
      <c r="M16" s="30"/>
      <c r="N16" s="30"/>
      <c r="O16" s="30"/>
      <c r="P16" s="30"/>
      <c r="Q16" s="30"/>
      <c r="R16" s="30" t="s">
        <v>556</v>
      </c>
      <c r="S16" s="30" t="s">
        <v>491</v>
      </c>
      <c r="T16" s="273" t="s">
        <v>479</v>
      </c>
      <c r="U16" s="30" t="s">
        <v>493</v>
      </c>
      <c r="V16" s="30"/>
      <c r="W16" s="257" t="s">
        <v>537</v>
      </c>
      <c r="X16" s="265">
        <v>0.4</v>
      </c>
      <c r="Y16" s="265" t="s">
        <v>1452</v>
      </c>
      <c r="Z16" s="265">
        <v>0.4</v>
      </c>
      <c r="AA16" s="265" t="s">
        <v>1452</v>
      </c>
      <c r="AB16" s="265">
        <v>0.6</v>
      </c>
      <c r="AC16" s="265" t="s">
        <v>1452</v>
      </c>
      <c r="AD16" s="265" t="s">
        <v>1452</v>
      </c>
      <c r="AE16" s="265" t="s">
        <v>1452</v>
      </c>
    </row>
    <row r="17" spans="1:31" ht="16.5" customHeight="1" x14ac:dyDescent="0.25">
      <c r="A17" s="30"/>
      <c r="B17" s="30">
        <v>12111</v>
      </c>
      <c r="C17" s="30" t="s">
        <v>334</v>
      </c>
      <c r="D17" s="30" t="s">
        <v>532</v>
      </c>
      <c r="E17" s="30"/>
      <c r="F17" s="273" t="s">
        <v>558</v>
      </c>
      <c r="G17" s="30" t="s">
        <v>513</v>
      </c>
      <c r="H17" s="30" t="s">
        <v>559</v>
      </c>
      <c r="I17" s="30" t="s">
        <v>487</v>
      </c>
      <c r="J17" s="30"/>
      <c r="K17" s="30"/>
      <c r="L17" s="30"/>
      <c r="M17" s="30"/>
      <c r="N17" s="30"/>
      <c r="O17" s="30"/>
      <c r="P17" s="30"/>
      <c r="Q17" s="30"/>
      <c r="R17" s="30" t="s">
        <v>558</v>
      </c>
      <c r="S17" s="30" t="s">
        <v>542</v>
      </c>
      <c r="T17" s="273" t="s">
        <v>479</v>
      </c>
      <c r="U17" s="30" t="s">
        <v>493</v>
      </c>
      <c r="V17" s="30"/>
      <c r="W17" s="257" t="s">
        <v>543</v>
      </c>
      <c r="X17" s="265">
        <v>0.6</v>
      </c>
      <c r="Y17" s="265">
        <v>1</v>
      </c>
      <c r="Z17" s="265">
        <v>0.6</v>
      </c>
      <c r="AA17" s="265">
        <v>1</v>
      </c>
      <c r="AB17" s="265">
        <v>0.4</v>
      </c>
      <c r="AC17" s="265" t="s">
        <v>1452</v>
      </c>
      <c r="AD17" s="265">
        <v>1</v>
      </c>
      <c r="AE17" s="265">
        <v>1</v>
      </c>
    </row>
    <row r="18" spans="1:31" ht="16.5" customHeight="1" x14ac:dyDescent="0.25">
      <c r="A18" s="30"/>
      <c r="B18" s="30">
        <v>12112</v>
      </c>
      <c r="C18" s="30" t="s">
        <v>336</v>
      </c>
      <c r="D18" s="30" t="s">
        <v>560</v>
      </c>
      <c r="E18" s="30"/>
      <c r="F18" s="30" t="s">
        <v>561</v>
      </c>
      <c r="G18" s="30" t="s">
        <v>485</v>
      </c>
      <c r="H18" s="30" t="s">
        <v>560</v>
      </c>
      <c r="I18" s="30" t="s">
        <v>487</v>
      </c>
      <c r="J18" s="30"/>
      <c r="K18" s="30"/>
      <c r="L18" s="30"/>
      <c r="M18" s="30"/>
      <c r="N18" s="30"/>
      <c r="O18" s="30"/>
      <c r="P18" s="30"/>
      <c r="Q18" s="30" t="str">
        <f>VLOOKUP($Q$11,TablaSujetos215[],3,TRUE)</f>
        <v>MIXTA&gt;50 sin ing</v>
      </c>
      <c r="R18" s="30" t="s">
        <v>561</v>
      </c>
      <c r="S18" s="30" t="s">
        <v>491</v>
      </c>
      <c r="T18" s="264" t="s">
        <v>492</v>
      </c>
      <c r="U18" s="30" t="s">
        <v>493</v>
      </c>
      <c r="V18" s="30"/>
      <c r="W18" s="257" t="s">
        <v>1603</v>
      </c>
      <c r="X18" s="283">
        <v>0.4</v>
      </c>
      <c r="Y18" s="283">
        <v>0.4</v>
      </c>
      <c r="Z18" s="283">
        <v>0.4</v>
      </c>
      <c r="AA18" s="283">
        <v>0.3</v>
      </c>
      <c r="AB18" s="283">
        <v>0.3</v>
      </c>
      <c r="AC18" s="283">
        <v>0.3</v>
      </c>
      <c r="AD18" s="283">
        <v>0.3</v>
      </c>
      <c r="AE18" s="265" t="s">
        <v>1452</v>
      </c>
    </row>
    <row r="19" spans="1:31" ht="16.5" customHeight="1" x14ac:dyDescent="0.25">
      <c r="A19" s="30"/>
      <c r="B19" s="30">
        <v>12113</v>
      </c>
      <c r="C19" s="30" t="s">
        <v>338</v>
      </c>
      <c r="D19" s="30" t="s">
        <v>562</v>
      </c>
      <c r="E19" s="30"/>
      <c r="F19" s="30" t="s">
        <v>563</v>
      </c>
      <c r="G19" s="30" t="s">
        <v>513</v>
      </c>
      <c r="H19" s="30" t="s">
        <v>557</v>
      </c>
      <c r="I19" s="270" t="s">
        <v>505</v>
      </c>
      <c r="J19" s="30"/>
      <c r="K19" s="30"/>
      <c r="L19" s="30"/>
      <c r="M19" s="30"/>
      <c r="N19" s="30"/>
      <c r="O19" s="30"/>
      <c r="P19" s="30"/>
      <c r="Q19" s="30"/>
      <c r="R19" s="30" t="s">
        <v>563</v>
      </c>
      <c r="S19" s="30" t="s">
        <v>491</v>
      </c>
      <c r="T19" s="264" t="s">
        <v>492</v>
      </c>
      <c r="U19" s="30" t="s">
        <v>493</v>
      </c>
      <c r="V19" s="30"/>
      <c r="W19" s="257" t="s">
        <v>1603</v>
      </c>
      <c r="X19" s="283">
        <v>0.4</v>
      </c>
      <c r="Y19" s="283">
        <v>0.4</v>
      </c>
      <c r="Z19" s="283">
        <v>0.4</v>
      </c>
      <c r="AA19" s="283">
        <v>0.3</v>
      </c>
      <c r="AB19" s="283">
        <v>0.3</v>
      </c>
      <c r="AC19" s="283">
        <v>0.3</v>
      </c>
      <c r="AD19" s="283">
        <v>0.3</v>
      </c>
      <c r="AE19" s="265" t="s">
        <v>1452</v>
      </c>
    </row>
    <row r="20" spans="1:31" ht="21" customHeight="1" x14ac:dyDescent="0.25">
      <c r="A20" s="30"/>
      <c r="B20" s="30">
        <v>12114</v>
      </c>
      <c r="C20" s="30" t="s">
        <v>340</v>
      </c>
      <c r="D20" s="30" t="s">
        <v>564</v>
      </c>
      <c r="E20" s="30"/>
      <c r="F20" s="30" t="s">
        <v>565</v>
      </c>
      <c r="G20" s="30" t="s">
        <v>513</v>
      </c>
      <c r="H20" s="30" t="s">
        <v>511</v>
      </c>
      <c r="I20" s="270" t="s">
        <v>505</v>
      </c>
      <c r="J20" s="30"/>
      <c r="K20" s="30"/>
      <c r="L20" s="30"/>
      <c r="M20" s="30"/>
      <c r="N20" s="30"/>
      <c r="O20" s="30"/>
      <c r="P20" s="30"/>
      <c r="Q20" s="30"/>
      <c r="R20" s="30" t="s">
        <v>565</v>
      </c>
      <c r="S20" s="30" t="s">
        <v>491</v>
      </c>
      <c r="T20" s="273" t="s">
        <v>516</v>
      </c>
      <c r="U20" s="30" t="s">
        <v>509</v>
      </c>
      <c r="V20" s="30"/>
      <c r="W20" s="257" t="s">
        <v>1603</v>
      </c>
      <c r="X20" s="283">
        <v>0.4</v>
      </c>
      <c r="Y20" s="283">
        <v>0.4</v>
      </c>
      <c r="Z20" s="283">
        <v>0.4</v>
      </c>
      <c r="AA20" s="283">
        <v>0.3</v>
      </c>
      <c r="AB20" s="283">
        <v>0.3</v>
      </c>
      <c r="AC20" s="283">
        <v>0.3</v>
      </c>
      <c r="AD20" s="283">
        <v>0.3</v>
      </c>
      <c r="AE20" s="265" t="s">
        <v>1452</v>
      </c>
    </row>
    <row r="21" spans="1:31" ht="16.5" customHeight="1" x14ac:dyDescent="0.25">
      <c r="A21" s="30"/>
      <c r="B21" s="30">
        <v>12115</v>
      </c>
      <c r="C21" s="30" t="s">
        <v>342</v>
      </c>
      <c r="D21" s="30" t="s">
        <v>566</v>
      </c>
      <c r="E21" s="30"/>
      <c r="F21" s="30" t="s">
        <v>567</v>
      </c>
      <c r="G21" s="30" t="s">
        <v>513</v>
      </c>
      <c r="H21" s="30" t="s">
        <v>568</v>
      </c>
      <c r="I21" s="270" t="s">
        <v>505</v>
      </c>
      <c r="J21" s="30"/>
      <c r="K21" s="30"/>
      <c r="L21" s="30"/>
      <c r="M21" s="30"/>
      <c r="N21" s="30"/>
      <c r="O21" s="30"/>
      <c r="P21" s="30"/>
      <c r="Q21" s="30"/>
      <c r="R21" s="30" t="s">
        <v>567</v>
      </c>
      <c r="S21" s="30" t="s">
        <v>491</v>
      </c>
      <c r="T21" s="273" t="s">
        <v>516</v>
      </c>
      <c r="U21" s="30" t="s">
        <v>509</v>
      </c>
      <c r="V21" s="30"/>
      <c r="W21" s="286" t="s">
        <v>1604</v>
      </c>
      <c r="X21" s="275">
        <v>0.6</v>
      </c>
      <c r="Y21" s="275">
        <v>0.6</v>
      </c>
      <c r="Z21" s="275">
        <v>0.6</v>
      </c>
      <c r="AA21" s="275">
        <v>0.7</v>
      </c>
      <c r="AB21" s="275">
        <v>0.7</v>
      </c>
      <c r="AC21" s="275">
        <v>0.7</v>
      </c>
      <c r="AD21" s="287">
        <v>0.7</v>
      </c>
      <c r="AE21" s="265" t="s">
        <v>1452</v>
      </c>
    </row>
    <row r="22" spans="1:31" ht="16.5" customHeight="1" x14ac:dyDescent="0.25">
      <c r="A22" s="30"/>
      <c r="B22" s="30">
        <v>12116</v>
      </c>
      <c r="C22" s="30" t="s">
        <v>344</v>
      </c>
      <c r="D22" s="30" t="s">
        <v>569</v>
      </c>
      <c r="E22" s="30"/>
      <c r="F22" s="30" t="s">
        <v>570</v>
      </c>
      <c r="G22" s="30" t="s">
        <v>513</v>
      </c>
      <c r="H22" s="30" t="s">
        <v>496</v>
      </c>
      <c r="I22" s="270" t="s">
        <v>505</v>
      </c>
      <c r="J22" s="30"/>
      <c r="K22" s="30"/>
      <c r="L22" s="30"/>
      <c r="M22" s="30"/>
      <c r="N22" s="30"/>
      <c r="O22" s="30"/>
      <c r="P22" s="30"/>
      <c r="Q22" s="30"/>
      <c r="R22" s="30" t="s">
        <v>570</v>
      </c>
      <c r="S22" s="30" t="s">
        <v>491</v>
      </c>
      <c r="T22" s="273" t="s">
        <v>516</v>
      </c>
      <c r="U22" s="30" t="s">
        <v>509</v>
      </c>
      <c r="V22" s="30"/>
      <c r="W22" s="257"/>
      <c r="X22" s="257"/>
      <c r="Y22" s="257"/>
      <c r="Z22" s="257"/>
      <c r="AA22" s="257"/>
    </row>
    <row r="23" spans="1:31" ht="88.5" customHeight="1" x14ac:dyDescent="0.25">
      <c r="A23" s="30"/>
      <c r="B23" s="30">
        <v>12117</v>
      </c>
      <c r="C23" s="30" t="s">
        <v>346</v>
      </c>
      <c r="D23" s="30" t="s">
        <v>571</v>
      </c>
      <c r="E23" s="30"/>
      <c r="F23" s="30" t="s">
        <v>572</v>
      </c>
      <c r="G23" s="30" t="s">
        <v>513</v>
      </c>
      <c r="H23" s="30" t="s">
        <v>557</v>
      </c>
      <c r="I23" s="270" t="s">
        <v>505</v>
      </c>
      <c r="J23" s="30"/>
      <c r="K23" s="30"/>
      <c r="L23" s="30"/>
      <c r="M23" s="30"/>
      <c r="N23" s="30"/>
      <c r="O23" s="30"/>
      <c r="P23" s="30"/>
      <c r="Q23" s="30"/>
      <c r="R23" s="30" t="s">
        <v>572</v>
      </c>
      <c r="S23" s="30" t="s">
        <v>491</v>
      </c>
      <c r="T23" s="264" t="s">
        <v>492</v>
      </c>
      <c r="U23" s="30" t="s">
        <v>493</v>
      </c>
      <c r="V23" s="30"/>
      <c r="X23" s="1548" t="s">
        <v>679</v>
      </c>
      <c r="Y23" s="1548" t="s">
        <v>1765</v>
      </c>
    </row>
    <row r="24" spans="1:31" ht="72.75" customHeight="1" x14ac:dyDescent="0.25">
      <c r="A24" s="30"/>
      <c r="B24" s="30">
        <v>12118</v>
      </c>
      <c r="C24" s="30" t="s">
        <v>348</v>
      </c>
      <c r="D24" s="30" t="s">
        <v>573</v>
      </c>
      <c r="E24" s="30"/>
      <c r="F24" s="30" t="s">
        <v>574</v>
      </c>
      <c r="G24" s="30" t="s">
        <v>513</v>
      </c>
      <c r="H24" s="30" t="s">
        <v>496</v>
      </c>
      <c r="I24" s="270" t="s">
        <v>505</v>
      </c>
      <c r="J24" s="30"/>
      <c r="K24" s="30"/>
      <c r="L24" s="30"/>
      <c r="M24" s="30"/>
      <c r="N24" s="30"/>
      <c r="O24" s="30"/>
      <c r="P24" s="30"/>
      <c r="Q24" s="30"/>
      <c r="R24" s="288" t="s">
        <v>574</v>
      </c>
      <c r="S24" s="30" t="s">
        <v>491</v>
      </c>
      <c r="T24" s="273" t="s">
        <v>516</v>
      </c>
      <c r="U24" s="30" t="s">
        <v>509</v>
      </c>
      <c r="V24" s="30"/>
      <c r="W24" s="1545" t="s">
        <v>1760</v>
      </c>
      <c r="X24" t="s">
        <v>1766</v>
      </c>
      <c r="Y24" t="s">
        <v>1767</v>
      </c>
    </row>
    <row r="25" spans="1:31" ht="16.5" customHeight="1" x14ac:dyDescent="0.25">
      <c r="A25" s="30"/>
      <c r="B25" s="30">
        <v>12119</v>
      </c>
      <c r="C25" s="30" t="s">
        <v>350</v>
      </c>
      <c r="D25" s="30" t="s">
        <v>575</v>
      </c>
      <c r="E25" s="30"/>
      <c r="F25" s="30" t="s">
        <v>576</v>
      </c>
      <c r="G25" s="30" t="s">
        <v>485</v>
      </c>
      <c r="H25" s="30" t="s">
        <v>562</v>
      </c>
      <c r="I25" s="30" t="s">
        <v>487</v>
      </c>
      <c r="J25" s="30"/>
      <c r="K25" s="30"/>
      <c r="L25" s="30"/>
      <c r="M25" s="30"/>
      <c r="N25" s="30"/>
      <c r="O25" s="30"/>
      <c r="P25" s="30"/>
      <c r="Q25" s="30"/>
      <c r="R25" s="30" t="s">
        <v>576</v>
      </c>
      <c r="S25" s="30" t="s">
        <v>491</v>
      </c>
      <c r="T25" s="264" t="s">
        <v>492</v>
      </c>
      <c r="U25" s="30" t="s">
        <v>493</v>
      </c>
      <c r="V25" s="30"/>
      <c r="W25" s="1545" t="s">
        <v>1761</v>
      </c>
      <c r="X25" t="s">
        <v>1767</v>
      </c>
      <c r="Y25" t="s">
        <v>1767</v>
      </c>
    </row>
    <row r="26" spans="1:31" ht="16.5" customHeight="1" x14ac:dyDescent="0.25">
      <c r="A26" s="30"/>
      <c r="B26" s="30">
        <v>12120</v>
      </c>
      <c r="C26" s="30" t="s">
        <v>352</v>
      </c>
      <c r="D26" s="30" t="s">
        <v>577</v>
      </c>
      <c r="E26" s="30"/>
      <c r="F26" s="30" t="s">
        <v>578</v>
      </c>
      <c r="G26" s="30" t="s">
        <v>579</v>
      </c>
      <c r="H26" s="30" t="s">
        <v>580</v>
      </c>
      <c r="I26" s="270" t="s">
        <v>505</v>
      </c>
      <c r="J26" s="30"/>
      <c r="K26" s="30"/>
      <c r="L26" s="30"/>
      <c r="M26" s="30"/>
      <c r="N26" s="30"/>
      <c r="O26" s="30"/>
      <c r="P26" s="30"/>
      <c r="Q26" s="30"/>
      <c r="R26" s="30" t="s">
        <v>578</v>
      </c>
      <c r="S26" s="30" t="s">
        <v>491</v>
      </c>
      <c r="T26" s="264" t="s">
        <v>492</v>
      </c>
      <c r="U26" s="30" t="s">
        <v>493</v>
      </c>
      <c r="V26" s="30"/>
      <c r="W26" s="1545" t="s">
        <v>1762</v>
      </c>
      <c r="X26" t="s">
        <v>1767</v>
      </c>
      <c r="Y26" t="s">
        <v>1767</v>
      </c>
    </row>
    <row r="27" spans="1:31" ht="16.5" customHeight="1" x14ac:dyDescent="0.25">
      <c r="A27" s="30"/>
      <c r="B27" s="30">
        <v>130000</v>
      </c>
      <c r="C27" s="30" t="s">
        <v>354</v>
      </c>
      <c r="D27" s="30" t="s">
        <v>557</v>
      </c>
      <c r="E27" s="30"/>
      <c r="F27" s="30" t="s">
        <v>581</v>
      </c>
      <c r="G27" s="30" t="s">
        <v>513</v>
      </c>
      <c r="H27" s="30" t="s">
        <v>582</v>
      </c>
      <c r="I27" s="270" t="s">
        <v>505</v>
      </c>
      <c r="J27" s="30"/>
      <c r="K27" s="30"/>
      <c r="L27" s="30"/>
      <c r="M27" s="30"/>
      <c r="N27" s="30"/>
      <c r="O27" s="30"/>
      <c r="P27" s="30"/>
      <c r="Q27" s="30"/>
      <c r="R27" s="30" t="s">
        <v>581</v>
      </c>
      <c r="S27" s="30" t="s">
        <v>491</v>
      </c>
      <c r="T27" s="264" t="s">
        <v>492</v>
      </c>
      <c r="U27" s="30" t="s">
        <v>493</v>
      </c>
      <c r="V27" s="30"/>
    </row>
    <row r="28" spans="1:31" ht="16.5" customHeight="1" x14ac:dyDescent="0.25">
      <c r="A28" s="30"/>
      <c r="B28" s="30">
        <v>140000</v>
      </c>
      <c r="C28" s="30" t="s">
        <v>356</v>
      </c>
      <c r="D28" s="30" t="s">
        <v>547</v>
      </c>
      <c r="E28" s="30"/>
      <c r="F28" s="30" t="s">
        <v>583</v>
      </c>
      <c r="G28" s="30" t="s">
        <v>513</v>
      </c>
      <c r="H28" s="30" t="s">
        <v>580</v>
      </c>
      <c r="I28" s="270" t="s">
        <v>505</v>
      </c>
      <c r="J28" s="30"/>
      <c r="K28" s="30"/>
      <c r="L28" s="30"/>
      <c r="M28" s="30"/>
      <c r="N28" s="30"/>
      <c r="O28" s="30"/>
      <c r="P28" s="30"/>
      <c r="Q28" s="30"/>
      <c r="R28" s="30" t="s">
        <v>583</v>
      </c>
      <c r="S28" s="30" t="s">
        <v>491</v>
      </c>
      <c r="T28" s="264" t="s">
        <v>492</v>
      </c>
      <c r="U28" s="30" t="s">
        <v>493</v>
      </c>
      <c r="V28" s="30"/>
    </row>
    <row r="29" spans="1:31" ht="16.5" customHeight="1" x14ac:dyDescent="0.25">
      <c r="A29" s="30"/>
      <c r="B29" s="30">
        <v>150000</v>
      </c>
      <c r="C29" s="30" t="s">
        <v>358</v>
      </c>
      <c r="D29" s="30" t="s">
        <v>541</v>
      </c>
      <c r="E29" s="30"/>
      <c r="F29" s="30" t="s">
        <v>584</v>
      </c>
      <c r="G29" s="30" t="s">
        <v>485</v>
      </c>
      <c r="H29" s="30" t="s">
        <v>564</v>
      </c>
      <c r="I29" s="30" t="s">
        <v>487</v>
      </c>
      <c r="J29" s="30"/>
      <c r="K29" s="30"/>
      <c r="L29" s="30"/>
      <c r="M29" s="30"/>
      <c r="N29" s="30"/>
      <c r="O29" s="30"/>
      <c r="P29" s="30"/>
      <c r="Q29" s="30"/>
      <c r="R29" s="30" t="s">
        <v>584</v>
      </c>
      <c r="S29" s="30" t="s">
        <v>491</v>
      </c>
      <c r="T29" s="264" t="s">
        <v>492</v>
      </c>
      <c r="U29" s="30" t="s">
        <v>493</v>
      </c>
      <c r="V29" s="30"/>
    </row>
    <row r="30" spans="1:31" ht="16.5" customHeight="1" x14ac:dyDescent="0.25">
      <c r="A30" s="30"/>
      <c r="B30" s="30">
        <v>190000</v>
      </c>
      <c r="C30" s="30" t="s">
        <v>360</v>
      </c>
      <c r="D30" s="30" t="s">
        <v>555</v>
      </c>
      <c r="E30" s="30"/>
      <c r="F30" s="30" t="s">
        <v>586</v>
      </c>
      <c r="G30" s="30" t="s">
        <v>485</v>
      </c>
      <c r="H30" s="30" t="s">
        <v>566</v>
      </c>
      <c r="I30" s="30" t="s">
        <v>487</v>
      </c>
      <c r="J30" s="30"/>
      <c r="K30" s="30"/>
      <c r="L30" s="30"/>
      <c r="M30" s="30"/>
      <c r="N30" s="30"/>
      <c r="O30" s="30"/>
      <c r="P30" s="30"/>
      <c r="Q30" s="30"/>
      <c r="R30" s="30" t="s">
        <v>586</v>
      </c>
      <c r="S30" s="30" t="s">
        <v>491</v>
      </c>
      <c r="T30" s="264" t="s">
        <v>492</v>
      </c>
      <c r="U30" s="30" t="s">
        <v>493</v>
      </c>
      <c r="V30" s="30"/>
      <c r="W30" s="289"/>
      <c r="AA30" s="257"/>
      <c r="AB30" s="257"/>
    </row>
    <row r="31" spans="1:31" ht="107.25" customHeight="1" x14ac:dyDescent="0.25">
      <c r="A31" s="30"/>
      <c r="B31" s="30">
        <v>200000</v>
      </c>
      <c r="C31" s="30" t="s">
        <v>362</v>
      </c>
      <c r="D31" s="30" t="s">
        <v>568</v>
      </c>
      <c r="E31" s="30"/>
      <c r="F31" s="30" t="s">
        <v>588</v>
      </c>
      <c r="G31" s="30" t="s">
        <v>485</v>
      </c>
      <c r="H31" s="30" t="s">
        <v>569</v>
      </c>
      <c r="I31" s="30" t="s">
        <v>487</v>
      </c>
      <c r="J31" s="30"/>
      <c r="K31" s="30"/>
      <c r="L31" s="30"/>
      <c r="M31" s="30"/>
      <c r="N31" s="30"/>
      <c r="O31" s="30"/>
      <c r="P31" s="30"/>
      <c r="Q31" s="30"/>
      <c r="R31" s="30" t="s">
        <v>588</v>
      </c>
      <c r="S31" s="30" t="s">
        <v>491</v>
      </c>
      <c r="T31" s="264" t="s">
        <v>492</v>
      </c>
      <c r="U31" s="30" t="s">
        <v>493</v>
      </c>
      <c r="V31" s="30"/>
      <c r="W31" s="289"/>
      <c r="AA31" s="257"/>
    </row>
    <row r="32" spans="1:31" ht="16.5" customHeight="1" x14ac:dyDescent="0.25">
      <c r="A32" s="30"/>
      <c r="B32" s="30">
        <v>210000</v>
      </c>
      <c r="C32" s="30" t="s">
        <v>364</v>
      </c>
      <c r="D32" s="30" t="s">
        <v>119</v>
      </c>
      <c r="E32" s="30"/>
      <c r="F32" s="30" t="s">
        <v>590</v>
      </c>
      <c r="G32" s="30" t="s">
        <v>485</v>
      </c>
      <c r="H32" s="30" t="s">
        <v>571</v>
      </c>
      <c r="I32" s="30" t="s">
        <v>487</v>
      </c>
      <c r="J32" s="30"/>
      <c r="K32" s="30"/>
      <c r="L32" s="30"/>
      <c r="M32" s="30"/>
      <c r="N32" s="30"/>
      <c r="O32" s="30"/>
      <c r="P32" s="30"/>
      <c r="Q32" s="30"/>
      <c r="R32" s="30" t="s">
        <v>590</v>
      </c>
      <c r="S32" s="30" t="s">
        <v>491</v>
      </c>
      <c r="T32" s="264" t="s">
        <v>492</v>
      </c>
      <c r="U32" s="30" t="s">
        <v>493</v>
      </c>
      <c r="V32" s="30"/>
      <c r="W32" s="289"/>
      <c r="AA32" s="283"/>
      <c r="AB32" s="283"/>
    </row>
    <row r="33" spans="1:31" ht="16.5" customHeight="1" x14ac:dyDescent="0.25">
      <c r="A33" s="30"/>
      <c r="B33" s="30">
        <v>220000</v>
      </c>
      <c r="C33" s="30" t="s">
        <v>366</v>
      </c>
      <c r="D33" s="30" t="s">
        <v>559</v>
      </c>
      <c r="E33" s="30"/>
      <c r="F33" s="30" t="s">
        <v>591</v>
      </c>
      <c r="G33" s="30" t="s">
        <v>485</v>
      </c>
      <c r="H33" s="30" t="s">
        <v>573</v>
      </c>
      <c r="I33" s="30" t="s">
        <v>487</v>
      </c>
      <c r="J33" s="30"/>
      <c r="K33" s="30"/>
      <c r="L33" s="30"/>
      <c r="M33" s="30"/>
      <c r="N33" s="30"/>
      <c r="O33" s="30"/>
      <c r="P33" s="30"/>
      <c r="Q33" s="30"/>
      <c r="R33" s="30" t="s">
        <v>591</v>
      </c>
      <c r="S33" s="30" t="s">
        <v>491</v>
      </c>
      <c r="T33" s="264" t="s">
        <v>492</v>
      </c>
      <c r="U33" s="30" t="s">
        <v>493</v>
      </c>
      <c r="V33" s="30"/>
      <c r="W33" s="290"/>
      <c r="X33" s="257"/>
      <c r="Y33" s="257"/>
      <c r="Z33" s="283"/>
      <c r="AA33" s="257"/>
    </row>
    <row r="34" spans="1:31" ht="16.5" customHeight="1" x14ac:dyDescent="0.25">
      <c r="A34" s="30"/>
      <c r="B34" s="30">
        <v>230000</v>
      </c>
      <c r="C34" s="30" t="s">
        <v>368</v>
      </c>
      <c r="D34" s="30" t="s">
        <v>580</v>
      </c>
      <c r="E34" s="30"/>
      <c r="F34" s="30" t="s">
        <v>592</v>
      </c>
      <c r="G34" s="30" t="s">
        <v>485</v>
      </c>
      <c r="H34" s="30" t="s">
        <v>575</v>
      </c>
      <c r="I34" s="30" t="s">
        <v>487</v>
      </c>
      <c r="J34" s="30"/>
      <c r="K34" s="30"/>
      <c r="L34" s="30"/>
      <c r="M34" s="30"/>
      <c r="N34" s="30"/>
      <c r="O34" s="30"/>
      <c r="P34" s="30"/>
      <c r="Q34" s="30"/>
      <c r="R34" s="30" t="s">
        <v>592</v>
      </c>
      <c r="S34" s="30" t="s">
        <v>491</v>
      </c>
      <c r="T34" s="264" t="s">
        <v>492</v>
      </c>
      <c r="U34" s="30" t="s">
        <v>493</v>
      </c>
      <c r="V34" s="30"/>
      <c r="W34" s="289"/>
      <c r="X34" s="257"/>
      <c r="Y34" s="257"/>
      <c r="Z34" s="283"/>
      <c r="AA34" s="257"/>
    </row>
    <row r="35" spans="1:31" ht="16.5" customHeight="1" x14ac:dyDescent="0.25">
      <c r="A35" s="30"/>
      <c r="B35" s="30">
        <v>80000</v>
      </c>
      <c r="C35" s="30" t="s">
        <v>370</v>
      </c>
      <c r="D35" s="30" t="s">
        <v>550</v>
      </c>
      <c r="E35" s="30"/>
      <c r="F35" s="30" t="s">
        <v>593</v>
      </c>
      <c r="G35" s="30" t="s">
        <v>485</v>
      </c>
      <c r="H35" s="30" t="s">
        <v>525</v>
      </c>
      <c r="I35" s="30" t="s">
        <v>487</v>
      </c>
      <c r="J35" s="30"/>
      <c r="K35" s="30"/>
      <c r="L35" s="30"/>
      <c r="M35" s="30"/>
      <c r="N35" s="30"/>
      <c r="O35" s="30"/>
      <c r="P35" s="30"/>
      <c r="Q35" s="30"/>
      <c r="R35" s="30" t="s">
        <v>593</v>
      </c>
      <c r="S35" s="30" t="s">
        <v>491</v>
      </c>
      <c r="T35" s="264" t="s">
        <v>492</v>
      </c>
      <c r="U35" s="30" t="s">
        <v>493</v>
      </c>
      <c r="V35" s="30"/>
      <c r="W35" s="291" t="s">
        <v>585</v>
      </c>
      <c r="X35" s="257"/>
      <c r="Y35" s="257"/>
      <c r="Z35" s="257"/>
      <c r="AA35" s="257"/>
    </row>
    <row r="36" spans="1:31" ht="16.5" customHeight="1" x14ac:dyDescent="0.25">
      <c r="A36" s="30"/>
      <c r="B36" s="30">
        <v>90000</v>
      </c>
      <c r="C36" s="30" t="s">
        <v>372</v>
      </c>
      <c r="D36" s="30" t="s">
        <v>582</v>
      </c>
      <c r="E36" s="30"/>
      <c r="F36" s="30" t="s">
        <v>594</v>
      </c>
      <c r="G36" s="30" t="s">
        <v>485</v>
      </c>
      <c r="H36" s="30" t="s">
        <v>577</v>
      </c>
      <c r="I36" s="30" t="s">
        <v>487</v>
      </c>
      <c r="J36" s="30"/>
      <c r="K36" s="30"/>
      <c r="L36" s="30"/>
      <c r="M36" s="30"/>
      <c r="N36" s="30"/>
      <c r="O36" s="30"/>
      <c r="P36" s="30"/>
      <c r="Q36" s="30"/>
      <c r="R36" s="30" t="s">
        <v>594</v>
      </c>
      <c r="S36" s="30" t="s">
        <v>491</v>
      </c>
      <c r="T36" s="264" t="s">
        <v>492</v>
      </c>
      <c r="U36" s="30" t="s">
        <v>493</v>
      </c>
      <c r="V36" s="30"/>
      <c r="W36" s="279" t="s">
        <v>587</v>
      </c>
      <c r="X36" s="257"/>
      <c r="Y36" s="257"/>
      <c r="Z36" s="283"/>
      <c r="AA36" s="257"/>
    </row>
    <row r="37" spans="1:31" ht="16.5" customHeight="1" x14ac:dyDescent="0.25">
      <c r="A37" s="30"/>
      <c r="B37" s="30"/>
      <c r="C37" s="30"/>
      <c r="D37" s="30"/>
      <c r="E37" s="30"/>
      <c r="F37" s="273" t="s">
        <v>595</v>
      </c>
      <c r="G37" s="30" t="s">
        <v>596</v>
      </c>
      <c r="H37" s="30" t="s">
        <v>555</v>
      </c>
      <c r="I37" s="270" t="s">
        <v>505</v>
      </c>
      <c r="J37" s="30" t="s">
        <v>487</v>
      </c>
      <c r="K37" s="30"/>
      <c r="L37" s="30"/>
      <c r="M37" s="30"/>
      <c r="N37" s="30"/>
      <c r="O37" s="30"/>
      <c r="P37" s="30"/>
      <c r="Q37" s="30"/>
      <c r="R37" s="30" t="s">
        <v>595</v>
      </c>
      <c r="S37" s="30" t="s">
        <v>542</v>
      </c>
      <c r="T37" s="273" t="s">
        <v>479</v>
      </c>
      <c r="U37" s="30" t="s">
        <v>493</v>
      </c>
      <c r="V37" s="30"/>
      <c r="W37" s="291" t="s">
        <v>589</v>
      </c>
      <c r="X37" s="257"/>
      <c r="Y37" s="257"/>
      <c r="Z37" s="257"/>
      <c r="AA37" s="257"/>
      <c r="AB37" s="257"/>
      <c r="AC37" s="257"/>
      <c r="AD37" s="257"/>
      <c r="AE37" s="257"/>
    </row>
    <row r="38" spans="1:31" ht="16.5" customHeight="1" x14ac:dyDescent="0.25">
      <c r="A38" s="30"/>
      <c r="B38" s="30"/>
      <c r="C38" s="30"/>
      <c r="D38" s="30"/>
      <c r="E38" s="30"/>
      <c r="F38" s="292" t="s">
        <v>597</v>
      </c>
      <c r="G38" s="30" t="s">
        <v>598</v>
      </c>
      <c r="H38" s="30" t="s">
        <v>483</v>
      </c>
      <c r="I38" s="270" t="s">
        <v>505</v>
      </c>
      <c r="J38" s="30" t="s">
        <v>487</v>
      </c>
      <c r="K38" s="30"/>
      <c r="L38" s="30"/>
      <c r="M38" s="30"/>
      <c r="N38" s="30"/>
      <c r="O38" s="30"/>
      <c r="P38" s="30"/>
      <c r="Q38" s="30"/>
      <c r="R38" s="293" t="s">
        <v>597</v>
      </c>
      <c r="S38" s="294" t="s">
        <v>542</v>
      </c>
      <c r="T38" s="295" t="s">
        <v>479</v>
      </c>
      <c r="U38" s="294" t="s">
        <v>493</v>
      </c>
      <c r="V38" s="294"/>
      <c r="W38" s="257"/>
      <c r="X38" s="257"/>
      <c r="Y38" s="257"/>
      <c r="Z38" s="257"/>
      <c r="AA38" s="257"/>
      <c r="AB38" s="257"/>
      <c r="AC38" s="257"/>
      <c r="AD38" s="257"/>
      <c r="AE38" s="257"/>
    </row>
    <row r="39" spans="1:31" ht="23.65" customHeight="1" x14ac:dyDescent="0.25">
      <c r="A39" s="30"/>
      <c r="B39" s="30"/>
      <c r="C39" s="30"/>
      <c r="D39" s="30"/>
      <c r="E39" s="30"/>
      <c r="F39" s="30" t="s">
        <v>599</v>
      </c>
      <c r="G39" s="30" t="s">
        <v>600</v>
      </c>
      <c r="H39" s="30" t="s">
        <v>557</v>
      </c>
      <c r="I39" s="30" t="s">
        <v>487</v>
      </c>
      <c r="J39" s="30"/>
      <c r="K39" s="30"/>
      <c r="L39" s="30"/>
      <c r="M39" s="30"/>
      <c r="N39" s="30"/>
      <c r="O39" s="30"/>
      <c r="P39" s="30"/>
      <c r="Q39" s="30"/>
      <c r="R39" s="293" t="s">
        <v>601</v>
      </c>
      <c r="S39" s="294" t="s">
        <v>491</v>
      </c>
      <c r="T39" s="264" t="s">
        <v>492</v>
      </c>
      <c r="U39" s="30" t="s">
        <v>493</v>
      </c>
      <c r="V39" s="30"/>
      <c r="W39" s="257"/>
      <c r="X39" s="257"/>
      <c r="Y39" s="257"/>
      <c r="Z39" s="257"/>
      <c r="AA39" s="257"/>
      <c r="AB39" s="257"/>
      <c r="AC39" s="257"/>
      <c r="AD39" s="257"/>
      <c r="AE39" s="257"/>
    </row>
    <row r="40" spans="1:31" ht="16.5" customHeight="1" x14ac:dyDescent="0.25">
      <c r="A40" s="30"/>
      <c r="B40" s="30"/>
      <c r="C40" s="30"/>
      <c r="D40" s="30"/>
      <c r="E40" s="30"/>
      <c r="F40" s="292" t="s">
        <v>601</v>
      </c>
      <c r="G40" s="30" t="s">
        <v>513</v>
      </c>
      <c r="H40" s="30" t="s">
        <v>557</v>
      </c>
      <c r="I40" s="270" t="s">
        <v>505</v>
      </c>
      <c r="J40" s="30" t="s">
        <v>487</v>
      </c>
      <c r="K40" s="30"/>
      <c r="L40" s="30"/>
      <c r="M40" s="30"/>
      <c r="N40" s="30"/>
      <c r="O40" s="30"/>
      <c r="P40" s="30"/>
      <c r="Q40" s="30"/>
      <c r="R40" s="30" t="s">
        <v>602</v>
      </c>
      <c r="S40" s="30" t="s">
        <v>542</v>
      </c>
      <c r="T40" s="273" t="s">
        <v>479</v>
      </c>
      <c r="U40" s="30" t="s">
        <v>493</v>
      </c>
      <c r="V40" s="30"/>
      <c r="W40" s="257"/>
      <c r="X40" s="257"/>
      <c r="Y40" s="257"/>
      <c r="Z40" s="257"/>
      <c r="AA40" s="257"/>
      <c r="AB40" s="257"/>
      <c r="AC40" s="257"/>
      <c r="AD40" s="257"/>
      <c r="AE40" s="257"/>
    </row>
    <row r="41" spans="1:31" ht="16.5" customHeight="1" x14ac:dyDescent="0.25">
      <c r="A41" s="30"/>
      <c r="B41" s="30"/>
      <c r="C41" s="30"/>
      <c r="D41" s="30"/>
      <c r="E41" s="30"/>
      <c r="F41" s="273" t="s">
        <v>602</v>
      </c>
      <c r="G41" s="30" t="s">
        <v>596</v>
      </c>
      <c r="H41" s="30" t="s">
        <v>550</v>
      </c>
      <c r="I41" s="30" t="s">
        <v>487</v>
      </c>
      <c r="J41" s="30" t="s">
        <v>487</v>
      </c>
      <c r="K41" s="30"/>
      <c r="L41" s="30"/>
      <c r="M41" s="30"/>
      <c r="N41" s="30"/>
      <c r="O41" s="30"/>
      <c r="P41" s="30"/>
      <c r="Q41" s="30" t="s">
        <v>1929</v>
      </c>
      <c r="R41" s="30" t="s">
        <v>603</v>
      </c>
      <c r="S41" s="30" t="s">
        <v>542</v>
      </c>
      <c r="T41" s="273" t="s">
        <v>479</v>
      </c>
      <c r="U41" s="30" t="s">
        <v>493</v>
      </c>
      <c r="V41" s="30"/>
      <c r="W41" s="257"/>
      <c r="X41" s="257"/>
      <c r="Y41" s="257"/>
      <c r="Z41" s="257"/>
      <c r="AA41" s="257"/>
      <c r="AB41" s="257"/>
      <c r="AC41" s="257"/>
      <c r="AD41" s="257"/>
      <c r="AE41" s="257"/>
    </row>
    <row r="42" spans="1:31" ht="16.5" customHeight="1" x14ac:dyDescent="0.25">
      <c r="A42" s="30"/>
      <c r="B42" s="30"/>
      <c r="C42" s="30"/>
      <c r="D42" s="30"/>
      <c r="E42" s="30"/>
      <c r="F42" s="30" t="s">
        <v>604</v>
      </c>
      <c r="G42" s="30" t="s">
        <v>605</v>
      </c>
      <c r="H42" s="30" t="s">
        <v>557</v>
      </c>
      <c r="I42" s="30" t="s">
        <v>487</v>
      </c>
      <c r="J42" s="30"/>
      <c r="K42" s="30"/>
      <c r="L42" s="30"/>
      <c r="M42" s="30"/>
      <c r="N42" s="30"/>
      <c r="O42" s="30"/>
      <c r="P42" s="30"/>
      <c r="Q42" s="30"/>
      <c r="R42" s="30" t="s">
        <v>606</v>
      </c>
      <c r="S42" s="30" t="s">
        <v>542</v>
      </c>
      <c r="T42" s="273" t="s">
        <v>479</v>
      </c>
      <c r="U42" s="30" t="s">
        <v>493</v>
      </c>
      <c r="V42" s="30"/>
      <c r="W42" s="257"/>
      <c r="X42" s="257"/>
      <c r="Y42" s="257"/>
      <c r="Z42" s="257"/>
      <c r="AA42" s="257"/>
      <c r="AB42" s="257"/>
      <c r="AC42" s="257"/>
      <c r="AD42" s="257"/>
      <c r="AE42" s="257"/>
    </row>
    <row r="43" spans="1:31" ht="16.5" customHeight="1" x14ac:dyDescent="0.25">
      <c r="A43" s="30"/>
      <c r="B43" s="30"/>
      <c r="C43" s="30"/>
      <c r="D43" s="30"/>
      <c r="E43" s="30" t="s">
        <v>598</v>
      </c>
      <c r="F43" s="30" t="s">
        <v>603</v>
      </c>
      <c r="G43" s="30" t="s">
        <v>485</v>
      </c>
      <c r="H43" s="30" t="s">
        <v>541</v>
      </c>
      <c r="I43" s="30" t="s">
        <v>487</v>
      </c>
      <c r="J43" s="30"/>
      <c r="K43" s="30"/>
      <c r="L43" s="30"/>
      <c r="M43" s="30"/>
      <c r="N43" s="30"/>
      <c r="O43" s="30"/>
      <c r="P43" s="30"/>
      <c r="Q43" s="30"/>
      <c r="R43" s="30" t="s">
        <v>607</v>
      </c>
      <c r="S43" s="30" t="s">
        <v>542</v>
      </c>
      <c r="T43" s="273" t="s">
        <v>479</v>
      </c>
      <c r="U43" s="30" t="s">
        <v>493</v>
      </c>
      <c r="V43" s="30"/>
      <c r="W43" s="257"/>
      <c r="X43" s="257"/>
      <c r="Y43" s="257"/>
      <c r="Z43" s="257"/>
      <c r="AA43" s="257"/>
      <c r="AB43" s="257"/>
      <c r="AC43" s="257"/>
      <c r="AD43" s="257"/>
      <c r="AE43" s="257"/>
    </row>
    <row r="44" spans="1:31" ht="16.5" customHeight="1" x14ac:dyDescent="0.25">
      <c r="A44" s="30"/>
      <c r="B44" s="30"/>
      <c r="C44" s="30"/>
      <c r="D44" s="30"/>
      <c r="E44" s="30"/>
      <c r="F44" s="30" t="s">
        <v>608</v>
      </c>
      <c r="G44" s="30" t="s">
        <v>605</v>
      </c>
      <c r="H44" s="30" t="s">
        <v>557</v>
      </c>
      <c r="I44" s="30" t="s">
        <v>487</v>
      </c>
      <c r="J44" s="30"/>
      <c r="K44" s="30"/>
      <c r="L44" s="30"/>
      <c r="M44" s="30"/>
      <c r="N44" s="30"/>
      <c r="O44" s="30"/>
      <c r="P44" s="30"/>
      <c r="Q44" s="30"/>
      <c r="R44" s="30" t="s">
        <v>609</v>
      </c>
      <c r="S44" s="30" t="s">
        <v>542</v>
      </c>
      <c r="T44" s="273" t="s">
        <v>479</v>
      </c>
      <c r="U44" s="30" t="s">
        <v>493</v>
      </c>
      <c r="V44" s="30"/>
      <c r="W44" s="257"/>
      <c r="X44" s="257"/>
      <c r="Y44" s="257"/>
      <c r="Z44" s="257"/>
      <c r="AA44" s="257"/>
      <c r="AB44" s="257"/>
      <c r="AC44" s="257"/>
      <c r="AD44" s="257"/>
      <c r="AE44" s="257"/>
    </row>
    <row r="45" spans="1:31" ht="16.5" customHeight="1" x14ac:dyDescent="0.25">
      <c r="A45" s="30"/>
      <c r="B45" s="30"/>
      <c r="C45" s="30"/>
      <c r="D45" s="30"/>
      <c r="E45" s="30"/>
      <c r="F45" s="273" t="s">
        <v>606</v>
      </c>
      <c r="G45" s="30" t="s">
        <v>596</v>
      </c>
      <c r="H45" s="30" t="s">
        <v>557</v>
      </c>
      <c r="I45" s="30" t="s">
        <v>487</v>
      </c>
      <c r="J45" s="30" t="s">
        <v>487</v>
      </c>
      <c r="K45" s="30"/>
      <c r="L45" s="30"/>
      <c r="M45" s="30"/>
      <c r="N45" s="30"/>
      <c r="O45" s="30"/>
      <c r="P45" s="30"/>
      <c r="Q45" s="30"/>
      <c r="R45" s="30" t="s">
        <v>610</v>
      </c>
      <c r="S45" s="30" t="s">
        <v>542</v>
      </c>
      <c r="T45" s="273" t="s">
        <v>479</v>
      </c>
      <c r="U45" s="30" t="s">
        <v>493</v>
      </c>
      <c r="V45" s="30"/>
      <c r="W45" s="257"/>
      <c r="X45" s="257"/>
      <c r="Y45" s="257"/>
      <c r="Z45" s="257"/>
      <c r="AA45" s="257"/>
      <c r="AB45" s="257"/>
      <c r="AC45" s="257"/>
      <c r="AD45" s="257"/>
      <c r="AE45" s="257"/>
    </row>
    <row r="46" spans="1:31" ht="16.5" customHeight="1" x14ac:dyDescent="0.25">
      <c r="A46" s="30"/>
      <c r="B46" s="30"/>
      <c r="C46" s="30"/>
      <c r="D46" s="30"/>
      <c r="E46" s="30"/>
      <c r="F46" s="30" t="s">
        <v>611</v>
      </c>
      <c r="G46" s="30" t="s">
        <v>605</v>
      </c>
      <c r="H46" s="30" t="s">
        <v>557</v>
      </c>
      <c r="I46" s="30" t="s">
        <v>487</v>
      </c>
      <c r="J46" s="30"/>
      <c r="K46" s="30"/>
      <c r="L46" s="30"/>
      <c r="M46" s="30"/>
      <c r="N46" s="30"/>
      <c r="O46" s="30"/>
      <c r="P46" s="30"/>
      <c r="Q46" s="30"/>
      <c r="R46" s="30" t="s">
        <v>612</v>
      </c>
      <c r="S46" s="30" t="s">
        <v>542</v>
      </c>
      <c r="T46" s="273" t="s">
        <v>479</v>
      </c>
      <c r="U46" s="30" t="s">
        <v>493</v>
      </c>
      <c r="V46" s="30"/>
      <c r="W46" s="257"/>
      <c r="X46" s="257"/>
      <c r="Y46" s="257"/>
      <c r="Z46" s="257"/>
      <c r="AA46" s="257"/>
      <c r="AB46" s="257"/>
      <c r="AC46" s="257"/>
      <c r="AD46" s="257"/>
      <c r="AE46" s="257"/>
    </row>
    <row r="47" spans="1:31" ht="16.5" customHeight="1" x14ac:dyDescent="0.25">
      <c r="A47" s="30"/>
      <c r="B47" s="30"/>
      <c r="C47" s="30"/>
      <c r="D47" s="30"/>
      <c r="E47" s="30"/>
      <c r="F47" s="30" t="s">
        <v>613</v>
      </c>
      <c r="G47" s="30" t="s">
        <v>605</v>
      </c>
      <c r="H47" s="30" t="s">
        <v>557</v>
      </c>
      <c r="I47" s="30" t="s">
        <v>487</v>
      </c>
      <c r="J47" s="30"/>
      <c r="K47" s="30"/>
      <c r="L47" s="30"/>
      <c r="M47" s="30"/>
      <c r="N47" s="30"/>
      <c r="O47" s="30"/>
      <c r="P47" s="30"/>
      <c r="Q47" s="30"/>
      <c r="R47" s="30" t="s">
        <v>614</v>
      </c>
      <c r="S47" s="30" t="s">
        <v>542</v>
      </c>
      <c r="T47" s="273" t="s">
        <v>479</v>
      </c>
      <c r="U47" s="30" t="s">
        <v>493</v>
      </c>
      <c r="V47" s="30"/>
      <c r="W47" s="257"/>
      <c r="X47" s="257"/>
      <c r="Y47" s="257"/>
      <c r="Z47" s="257"/>
      <c r="AA47" s="257"/>
      <c r="AB47" s="257"/>
      <c r="AC47" s="257"/>
      <c r="AD47" s="257"/>
      <c r="AE47" s="257"/>
    </row>
    <row r="48" spans="1:31" ht="16.5" customHeight="1" x14ac:dyDescent="0.25">
      <c r="A48" s="30"/>
      <c r="B48" s="30"/>
      <c r="C48" s="30"/>
      <c r="D48" s="30"/>
      <c r="E48" s="30"/>
      <c r="F48" s="273" t="s">
        <v>607</v>
      </c>
      <c r="G48" s="30" t="s">
        <v>596</v>
      </c>
      <c r="H48" s="30" t="s">
        <v>559</v>
      </c>
      <c r="I48" s="270" t="s">
        <v>505</v>
      </c>
      <c r="J48" s="30" t="s">
        <v>487</v>
      </c>
      <c r="K48" s="30"/>
      <c r="L48" s="30"/>
      <c r="M48" s="30"/>
      <c r="N48" s="30"/>
      <c r="O48" s="30"/>
      <c r="P48" s="30"/>
      <c r="Q48" s="30"/>
      <c r="R48" s="273" t="s">
        <v>615</v>
      </c>
      <c r="S48" s="295" t="s">
        <v>491</v>
      </c>
      <c r="T48" s="273" t="s">
        <v>479</v>
      </c>
      <c r="U48" s="30" t="s">
        <v>493</v>
      </c>
      <c r="V48" s="30"/>
      <c r="W48" s="257"/>
      <c r="X48" s="257"/>
      <c r="Y48" s="257"/>
      <c r="Z48" s="257"/>
      <c r="AA48" s="257"/>
      <c r="AB48" s="257"/>
      <c r="AC48" s="257"/>
      <c r="AD48" s="257"/>
      <c r="AE48" s="257"/>
    </row>
    <row r="49" spans="1:30" ht="16.5" customHeight="1" x14ac:dyDescent="0.25">
      <c r="A49" s="30"/>
      <c r="B49" s="30"/>
      <c r="C49" s="30"/>
      <c r="D49" s="30"/>
      <c r="E49" s="30"/>
      <c r="F49" s="273" t="s">
        <v>609</v>
      </c>
      <c r="G49" s="30" t="s">
        <v>596</v>
      </c>
      <c r="H49" s="30" t="s">
        <v>559</v>
      </c>
      <c r="I49" s="270" t="s">
        <v>505</v>
      </c>
      <c r="J49" s="30" t="s">
        <v>487</v>
      </c>
      <c r="K49" s="30"/>
      <c r="L49" s="30"/>
      <c r="M49" s="30"/>
      <c r="N49" s="30"/>
      <c r="O49" s="30"/>
      <c r="P49" s="30"/>
      <c r="Q49" s="30"/>
      <c r="R49" s="30" t="s">
        <v>616</v>
      </c>
      <c r="S49" s="30" t="s">
        <v>542</v>
      </c>
      <c r="T49" s="273" t="s">
        <v>479</v>
      </c>
      <c r="U49" s="30" t="s">
        <v>493</v>
      </c>
      <c r="V49" s="30"/>
      <c r="W49" s="257"/>
      <c r="X49" s="257"/>
      <c r="Y49" s="257"/>
      <c r="Z49" s="257"/>
      <c r="AA49" s="257"/>
      <c r="AB49" s="257"/>
      <c r="AC49" s="257"/>
      <c r="AD49" s="257"/>
    </row>
    <row r="50" spans="1:30" ht="16.5" customHeight="1" x14ac:dyDescent="0.25">
      <c r="A50" s="30"/>
      <c r="B50" s="30"/>
      <c r="C50" s="30"/>
      <c r="D50" s="30"/>
      <c r="E50" s="30"/>
      <c r="F50" s="273" t="s">
        <v>610</v>
      </c>
      <c r="G50" s="30" t="s">
        <v>596</v>
      </c>
      <c r="H50" s="30" t="s">
        <v>568</v>
      </c>
      <c r="I50" s="270" t="s">
        <v>505</v>
      </c>
      <c r="J50" s="30" t="s">
        <v>487</v>
      </c>
      <c r="K50" s="30"/>
      <c r="L50" s="30"/>
      <c r="M50" s="30"/>
      <c r="N50" s="30"/>
      <c r="O50" s="30"/>
      <c r="P50" s="30"/>
      <c r="Q50" s="30"/>
      <c r="R50" s="30" t="s">
        <v>617</v>
      </c>
      <c r="S50" s="30" t="s">
        <v>542</v>
      </c>
      <c r="T50" s="273" t="s">
        <v>479</v>
      </c>
      <c r="U50" s="30" t="s">
        <v>493</v>
      </c>
      <c r="V50" s="30"/>
      <c r="W50" s="257"/>
      <c r="X50" s="257"/>
      <c r="Y50" s="257"/>
      <c r="Z50" s="257"/>
      <c r="AA50" s="257"/>
      <c r="AB50" s="257"/>
      <c r="AC50" s="257"/>
      <c r="AD50" s="257"/>
    </row>
    <row r="51" spans="1:30" ht="16.5" customHeight="1" x14ac:dyDescent="0.25">
      <c r="A51" s="30"/>
      <c r="B51" s="30"/>
      <c r="C51" s="30"/>
      <c r="D51" s="30"/>
      <c r="E51" s="30"/>
      <c r="F51" s="273" t="s">
        <v>612</v>
      </c>
      <c r="G51" s="30" t="s">
        <v>596</v>
      </c>
      <c r="H51" s="30" t="s">
        <v>559</v>
      </c>
      <c r="I51" s="30" t="s">
        <v>487</v>
      </c>
      <c r="J51" s="30" t="s">
        <v>487</v>
      </c>
      <c r="K51" s="30"/>
      <c r="L51" s="30"/>
      <c r="M51" s="30"/>
      <c r="N51" s="30"/>
      <c r="O51" s="30"/>
      <c r="P51" s="30"/>
      <c r="Q51" s="30"/>
      <c r="R51" s="30" t="s">
        <v>618</v>
      </c>
      <c r="S51" s="30" t="s">
        <v>542</v>
      </c>
      <c r="T51" s="273" t="s">
        <v>479</v>
      </c>
      <c r="U51" s="30" t="s">
        <v>493</v>
      </c>
      <c r="V51" s="30"/>
      <c r="W51" s="257"/>
      <c r="Z51" s="257"/>
      <c r="AA51" s="257"/>
    </row>
    <row r="52" spans="1:30" ht="16.5" customHeight="1" x14ac:dyDescent="0.25">
      <c r="A52" s="30"/>
      <c r="B52" s="30"/>
      <c r="C52" s="30"/>
      <c r="D52" s="30"/>
      <c r="E52" s="30"/>
      <c r="F52" s="273" t="s">
        <v>614</v>
      </c>
      <c r="G52" s="30" t="s">
        <v>596</v>
      </c>
      <c r="H52" s="30" t="s">
        <v>559</v>
      </c>
      <c r="I52" s="270" t="s">
        <v>505</v>
      </c>
      <c r="J52" s="30" t="s">
        <v>487</v>
      </c>
      <c r="K52" s="30"/>
      <c r="L52" s="30"/>
      <c r="M52" s="30"/>
      <c r="N52" s="30"/>
      <c r="O52" s="30"/>
      <c r="P52" s="30"/>
      <c r="Q52" s="30"/>
      <c r="R52" s="30" t="s">
        <v>619</v>
      </c>
      <c r="S52" s="30" t="s">
        <v>542</v>
      </c>
      <c r="T52" s="273" t="s">
        <v>479</v>
      </c>
      <c r="U52" s="30" t="s">
        <v>493</v>
      </c>
      <c r="V52" s="30"/>
      <c r="W52" s="257"/>
      <c r="X52" s="257"/>
      <c r="Y52" s="257"/>
      <c r="Z52" s="257"/>
      <c r="AA52" s="257"/>
    </row>
    <row r="53" spans="1:30" ht="16.5" customHeight="1" x14ac:dyDescent="0.25">
      <c r="A53" s="30"/>
      <c r="B53" s="30"/>
      <c r="C53" s="30"/>
      <c r="D53" s="30"/>
      <c r="E53" s="30"/>
      <c r="F53" s="273" t="s">
        <v>615</v>
      </c>
      <c r="G53" s="273" t="s">
        <v>596</v>
      </c>
      <c r="H53" s="273" t="s">
        <v>557</v>
      </c>
      <c r="I53" s="30" t="s">
        <v>487</v>
      </c>
      <c r="J53" s="30" t="s">
        <v>487</v>
      </c>
      <c r="K53" s="30"/>
      <c r="L53" s="30"/>
      <c r="M53" s="30"/>
      <c r="N53" s="30"/>
      <c r="O53" s="30"/>
      <c r="P53" s="30"/>
      <c r="Q53" s="30"/>
      <c r="R53" s="30" t="s">
        <v>393</v>
      </c>
      <c r="S53" s="30" t="s">
        <v>542</v>
      </c>
      <c r="T53" s="273" t="s">
        <v>479</v>
      </c>
      <c r="U53" s="30" t="s">
        <v>493</v>
      </c>
      <c r="V53" s="30"/>
      <c r="W53" s="257"/>
      <c r="X53" s="257"/>
      <c r="Y53" s="257"/>
      <c r="Z53" s="257" t="s">
        <v>144</v>
      </c>
      <c r="AA53" s="257"/>
    </row>
    <row r="54" spans="1:30" ht="16.5" customHeight="1" x14ac:dyDescent="0.25">
      <c r="A54" s="30"/>
      <c r="B54" s="30"/>
      <c r="C54" s="30"/>
      <c r="D54" s="30"/>
      <c r="E54" s="30"/>
      <c r="F54" s="273" t="s">
        <v>616</v>
      </c>
      <c r="G54" s="30" t="s">
        <v>596</v>
      </c>
      <c r="H54" s="30" t="s">
        <v>547</v>
      </c>
      <c r="I54" s="270" t="s">
        <v>505</v>
      </c>
      <c r="J54" s="30" t="s">
        <v>487</v>
      </c>
      <c r="K54" s="30"/>
      <c r="L54" s="30"/>
      <c r="M54" s="30"/>
      <c r="N54" s="30"/>
      <c r="O54" s="30"/>
      <c r="P54" s="30"/>
      <c r="Q54" s="30"/>
      <c r="R54" s="30" t="s">
        <v>394</v>
      </c>
      <c r="S54" s="30" t="s">
        <v>542</v>
      </c>
      <c r="T54" s="273" t="s">
        <v>479</v>
      </c>
      <c r="U54" s="30" t="s">
        <v>493</v>
      </c>
      <c r="V54" s="30"/>
      <c r="W54" s="257"/>
      <c r="X54" s="257"/>
      <c r="Y54" s="257"/>
      <c r="Z54" s="257" t="s">
        <v>144</v>
      </c>
      <c r="AA54" s="257"/>
    </row>
    <row r="55" spans="1:30" ht="16.5" customHeight="1" x14ac:dyDescent="0.25">
      <c r="A55" s="30"/>
      <c r="B55" s="30"/>
      <c r="C55" s="30"/>
      <c r="D55" s="30"/>
      <c r="E55" s="30"/>
      <c r="F55" s="30" t="s">
        <v>617</v>
      </c>
      <c r="G55" s="30" t="s">
        <v>596</v>
      </c>
      <c r="H55" s="30" t="s">
        <v>496</v>
      </c>
      <c r="I55" s="270" t="s">
        <v>505</v>
      </c>
      <c r="J55" s="30"/>
      <c r="K55" s="30"/>
      <c r="L55" s="30"/>
      <c r="M55" s="30"/>
      <c r="N55" s="30"/>
      <c r="O55" s="30"/>
      <c r="P55" s="30"/>
      <c r="Q55" s="30"/>
      <c r="R55" s="30" t="s">
        <v>395</v>
      </c>
      <c r="S55" s="30" t="s">
        <v>542</v>
      </c>
      <c r="T55" s="273" t="s">
        <v>479</v>
      </c>
      <c r="U55" s="30" t="s">
        <v>493</v>
      </c>
      <c r="V55" s="30"/>
      <c r="W55" s="257"/>
      <c r="X55" s="257"/>
      <c r="Y55" s="257"/>
      <c r="Z55" s="257" t="s">
        <v>144</v>
      </c>
      <c r="AA55" s="257"/>
    </row>
    <row r="56" spans="1:30" ht="16.5" customHeight="1" x14ac:dyDescent="0.25">
      <c r="A56" s="30"/>
      <c r="B56" s="30"/>
      <c r="C56" s="30"/>
      <c r="D56" s="30"/>
      <c r="E56" s="30"/>
      <c r="F56" s="30" t="s">
        <v>618</v>
      </c>
      <c r="G56" s="30" t="s">
        <v>596</v>
      </c>
      <c r="H56" s="30" t="s">
        <v>555</v>
      </c>
      <c r="I56" s="270" t="s">
        <v>505</v>
      </c>
      <c r="J56" s="30"/>
      <c r="K56" s="30"/>
      <c r="L56" s="30"/>
      <c r="M56" s="30"/>
      <c r="N56" s="30"/>
      <c r="O56" s="30"/>
      <c r="P56" s="30"/>
      <c r="Q56" s="30"/>
      <c r="R56" s="30" t="s">
        <v>621</v>
      </c>
      <c r="S56" s="30" t="s">
        <v>542</v>
      </c>
      <c r="T56" s="273" t="s">
        <v>479</v>
      </c>
      <c r="U56" s="30" t="s">
        <v>493</v>
      </c>
      <c r="V56" s="30"/>
      <c r="W56" s="257"/>
      <c r="X56" s="257"/>
      <c r="Y56" s="257"/>
      <c r="Z56" s="257" t="s">
        <v>144</v>
      </c>
    </row>
    <row r="57" spans="1:30" ht="16.5" customHeight="1" x14ac:dyDescent="0.25">
      <c r="A57" s="30"/>
      <c r="B57" s="30"/>
      <c r="C57" s="30"/>
      <c r="D57" s="30"/>
      <c r="E57" s="30"/>
      <c r="F57" s="273" t="s">
        <v>619</v>
      </c>
      <c r="G57" s="30" t="s">
        <v>596</v>
      </c>
      <c r="H57" s="30" t="s">
        <v>559</v>
      </c>
      <c r="I57" s="270" t="s">
        <v>505</v>
      </c>
      <c r="J57" s="30" t="s">
        <v>487</v>
      </c>
      <c r="K57" s="30"/>
      <c r="L57" s="30"/>
      <c r="M57" s="30"/>
      <c r="N57" s="30"/>
      <c r="O57" s="30"/>
      <c r="P57" s="30"/>
      <c r="Q57" s="30"/>
      <c r="R57" s="30" t="s">
        <v>622</v>
      </c>
      <c r="S57" s="30" t="s">
        <v>542</v>
      </c>
      <c r="T57" s="273" t="s">
        <v>479</v>
      </c>
      <c r="U57" s="30" t="s">
        <v>493</v>
      </c>
      <c r="V57" s="30"/>
      <c r="W57" s="257"/>
      <c r="X57" s="257"/>
      <c r="Y57" s="257"/>
      <c r="Z57" s="257" t="s">
        <v>144</v>
      </c>
      <c r="AA57" s="257"/>
    </row>
    <row r="58" spans="1:30" ht="16.5" customHeight="1" x14ac:dyDescent="0.25">
      <c r="A58" s="30"/>
      <c r="B58" s="30"/>
      <c r="C58" s="30"/>
      <c r="D58" s="30"/>
      <c r="E58" s="30"/>
      <c r="F58" s="273" t="s">
        <v>393</v>
      </c>
      <c r="G58" s="30" t="s">
        <v>579</v>
      </c>
      <c r="H58" s="30" t="s">
        <v>541</v>
      </c>
      <c r="I58" s="270" t="s">
        <v>505</v>
      </c>
      <c r="J58" s="30" t="s">
        <v>487</v>
      </c>
      <c r="K58" s="30"/>
      <c r="L58" s="30"/>
      <c r="M58" s="30"/>
      <c r="N58" s="30"/>
      <c r="O58" s="30"/>
      <c r="P58" s="30"/>
      <c r="Q58" s="30"/>
      <c r="R58" s="30" t="s">
        <v>623</v>
      </c>
      <c r="S58" s="30" t="s">
        <v>624</v>
      </c>
      <c r="T58" s="273" t="s">
        <v>479</v>
      </c>
      <c r="U58" s="30" t="s">
        <v>493</v>
      </c>
      <c r="V58" s="30"/>
      <c r="W58" s="257"/>
      <c r="X58" s="257"/>
      <c r="Y58" s="257"/>
      <c r="Z58" s="257" t="s">
        <v>144</v>
      </c>
      <c r="AA58" s="257"/>
    </row>
    <row r="59" spans="1:30" ht="16.5" customHeight="1" x14ac:dyDescent="0.25">
      <c r="A59" s="30"/>
      <c r="B59" s="30"/>
      <c r="C59" s="30"/>
      <c r="D59" s="30"/>
      <c r="E59" s="30"/>
      <c r="F59" s="273" t="s">
        <v>394</v>
      </c>
      <c r="G59" s="30" t="s">
        <v>579</v>
      </c>
      <c r="H59" s="30" t="s">
        <v>550</v>
      </c>
      <c r="I59" s="270" t="s">
        <v>505</v>
      </c>
      <c r="J59" s="30" t="s">
        <v>487</v>
      </c>
      <c r="K59" s="30"/>
      <c r="L59" s="30"/>
      <c r="M59" s="30"/>
      <c r="N59" s="30"/>
      <c r="O59" s="30"/>
      <c r="P59" s="30"/>
      <c r="Q59" s="30"/>
      <c r="R59" s="288" t="s">
        <v>625</v>
      </c>
      <c r="S59" s="30" t="s">
        <v>542</v>
      </c>
      <c r="T59" s="273" t="s">
        <v>479</v>
      </c>
      <c r="U59" s="30" t="s">
        <v>493</v>
      </c>
      <c r="V59" s="30"/>
      <c r="W59" s="257"/>
      <c r="X59" s="257"/>
      <c r="Y59" s="257"/>
      <c r="Z59" s="257" t="s">
        <v>144</v>
      </c>
      <c r="AA59" s="257"/>
    </row>
    <row r="60" spans="1:30" ht="16.5" customHeight="1" x14ac:dyDescent="0.25">
      <c r="A60" s="30"/>
      <c r="B60" s="30"/>
      <c r="C60" s="30"/>
      <c r="D60" s="30"/>
      <c r="E60" s="30"/>
      <c r="F60" s="30" t="s">
        <v>395</v>
      </c>
      <c r="G60" s="30" t="s">
        <v>579</v>
      </c>
      <c r="H60" s="30" t="s">
        <v>119</v>
      </c>
      <c r="I60" s="270" t="s">
        <v>505</v>
      </c>
      <c r="J60" s="30"/>
      <c r="K60" s="30"/>
      <c r="L60" s="30"/>
      <c r="M60" s="30"/>
      <c r="N60" s="30"/>
      <c r="O60" s="30"/>
      <c r="P60" s="30"/>
      <c r="Q60" s="30"/>
      <c r="R60" s="30" t="s">
        <v>400</v>
      </c>
      <c r="S60" s="30" t="s">
        <v>542</v>
      </c>
      <c r="T60" s="273" t="s">
        <v>479</v>
      </c>
      <c r="U60" s="30" t="s">
        <v>493</v>
      </c>
      <c r="V60" s="30"/>
      <c r="W60" s="257"/>
      <c r="X60" s="257"/>
      <c r="Y60" s="257"/>
      <c r="Z60" s="257" t="s">
        <v>620</v>
      </c>
      <c r="AA60" s="257"/>
    </row>
    <row r="61" spans="1:30" ht="16.5" customHeight="1" x14ac:dyDescent="0.25">
      <c r="A61" s="30"/>
      <c r="B61" s="30"/>
      <c r="C61" s="30"/>
      <c r="D61" s="30"/>
      <c r="E61" s="30"/>
      <c r="F61" s="273" t="s">
        <v>621</v>
      </c>
      <c r="G61" s="30" t="s">
        <v>596</v>
      </c>
      <c r="H61" s="30" t="s">
        <v>557</v>
      </c>
      <c r="I61" s="270" t="s">
        <v>505</v>
      </c>
      <c r="J61" s="30" t="s">
        <v>487</v>
      </c>
      <c r="K61" s="30"/>
      <c r="L61" s="30"/>
      <c r="M61" s="30"/>
      <c r="N61" s="30"/>
      <c r="O61" s="30"/>
      <c r="P61" s="30"/>
      <c r="Q61" s="30"/>
      <c r="R61" s="30" t="s">
        <v>401</v>
      </c>
      <c r="S61" s="30" t="s">
        <v>542</v>
      </c>
      <c r="T61" s="273" t="s">
        <v>479</v>
      </c>
      <c r="U61" s="30" t="s">
        <v>493</v>
      </c>
      <c r="V61" s="30"/>
      <c r="W61" s="257"/>
      <c r="X61" s="257"/>
      <c r="Y61" s="257"/>
      <c r="Z61" s="257"/>
      <c r="AA61" s="257"/>
    </row>
    <row r="62" spans="1:30" ht="16.5" customHeight="1" x14ac:dyDescent="0.25">
      <c r="A62" s="30"/>
      <c r="B62" s="30"/>
      <c r="C62" s="30"/>
      <c r="D62" s="30"/>
      <c r="E62" s="30"/>
      <c r="F62" s="273" t="s">
        <v>622</v>
      </c>
      <c r="G62" s="30" t="s">
        <v>626</v>
      </c>
      <c r="H62" s="30" t="s">
        <v>547</v>
      </c>
      <c r="I62" s="30" t="s">
        <v>487</v>
      </c>
      <c r="J62" s="30" t="s">
        <v>487</v>
      </c>
      <c r="K62" s="30"/>
      <c r="L62" s="30"/>
      <c r="M62" s="30"/>
      <c r="N62" s="30"/>
      <c r="O62" s="30"/>
      <c r="P62" s="30"/>
      <c r="Q62" s="30"/>
      <c r="R62" s="30" t="s">
        <v>627</v>
      </c>
      <c r="S62" s="296" t="s">
        <v>624</v>
      </c>
      <c r="T62" s="273" t="s">
        <v>479</v>
      </c>
      <c r="U62" s="30" t="s">
        <v>493</v>
      </c>
      <c r="V62" s="30"/>
      <c r="W62" s="257"/>
      <c r="X62" s="257"/>
      <c r="Y62" s="257"/>
      <c r="Z62" s="257"/>
      <c r="AA62" s="257"/>
    </row>
    <row r="63" spans="1:30" ht="16.5" customHeight="1" x14ac:dyDescent="0.25">
      <c r="A63" s="30"/>
      <c r="B63" s="30"/>
      <c r="C63" s="30"/>
      <c r="D63" s="30"/>
      <c r="E63" s="30"/>
      <c r="F63" s="30" t="s">
        <v>623</v>
      </c>
      <c r="G63" s="30" t="s">
        <v>628</v>
      </c>
      <c r="H63" s="30" t="s">
        <v>541</v>
      </c>
      <c r="I63" s="30" t="s">
        <v>487</v>
      </c>
      <c r="J63" s="30"/>
      <c r="K63" s="30"/>
      <c r="L63" s="30"/>
      <c r="M63" s="30"/>
      <c r="N63" s="30"/>
      <c r="O63" s="30"/>
      <c r="P63" s="30"/>
      <c r="Q63" s="30"/>
      <c r="R63" s="30" t="s">
        <v>403</v>
      </c>
      <c r="S63" s="30" t="s">
        <v>624</v>
      </c>
      <c r="T63" s="273" t="s">
        <v>479</v>
      </c>
      <c r="U63" s="30" t="s">
        <v>493</v>
      </c>
      <c r="V63" s="30"/>
      <c r="W63" s="257"/>
      <c r="X63" s="257"/>
      <c r="Y63" s="257"/>
      <c r="Z63" s="257"/>
      <c r="AA63" s="257"/>
    </row>
    <row r="64" spans="1:30" ht="16.5" customHeight="1" x14ac:dyDescent="0.25">
      <c r="A64" s="30"/>
      <c r="B64" s="30"/>
      <c r="C64" s="30"/>
      <c r="D64" s="30"/>
      <c r="E64" s="30"/>
      <c r="F64" s="30" t="s">
        <v>625</v>
      </c>
      <c r="G64" s="30" t="s">
        <v>628</v>
      </c>
      <c r="H64" s="30" t="s">
        <v>559</v>
      </c>
      <c r="I64" s="30" t="s">
        <v>487</v>
      </c>
      <c r="J64" s="30"/>
      <c r="K64" s="30"/>
      <c r="L64" s="30"/>
      <c r="M64" s="30"/>
      <c r="N64" s="30"/>
      <c r="O64" s="30"/>
      <c r="P64" s="30"/>
      <c r="Q64" s="30"/>
      <c r="R64" s="30" t="s">
        <v>404</v>
      </c>
      <c r="S64" s="30" t="s">
        <v>542</v>
      </c>
      <c r="T64" s="273" t="s">
        <v>479</v>
      </c>
      <c r="U64" s="30" t="s">
        <v>493</v>
      </c>
      <c r="V64" s="30"/>
      <c r="W64" s="257"/>
      <c r="X64" s="257"/>
      <c r="Y64" s="257"/>
      <c r="Z64" s="257"/>
      <c r="AA64" s="257"/>
    </row>
    <row r="65" spans="1:27" ht="16.5" customHeight="1" x14ac:dyDescent="0.25">
      <c r="A65" s="30"/>
      <c r="B65" s="30"/>
      <c r="C65" s="30"/>
      <c r="D65" s="30"/>
      <c r="E65" s="30"/>
      <c r="F65" s="30" t="s">
        <v>400</v>
      </c>
      <c r="G65" s="30" t="s">
        <v>628</v>
      </c>
      <c r="H65" s="30" t="s">
        <v>550</v>
      </c>
      <c r="I65" s="30" t="s">
        <v>487</v>
      </c>
      <c r="J65" s="30"/>
      <c r="K65" s="30"/>
      <c r="L65" s="30"/>
      <c r="M65" s="30"/>
      <c r="N65" s="30"/>
      <c r="O65" s="30"/>
      <c r="P65" s="30"/>
      <c r="Q65" s="30"/>
      <c r="R65" s="30" t="s">
        <v>629</v>
      </c>
      <c r="S65" s="30" t="s">
        <v>624</v>
      </c>
      <c r="T65" s="273" t="s">
        <v>516</v>
      </c>
      <c r="U65" s="30" t="s">
        <v>509</v>
      </c>
      <c r="V65" s="30"/>
      <c r="W65" s="257"/>
      <c r="X65" s="257"/>
      <c r="Y65" s="257"/>
      <c r="Z65" s="257"/>
      <c r="AA65" s="257"/>
    </row>
    <row r="66" spans="1:27" ht="16.5" customHeight="1" x14ac:dyDescent="0.25">
      <c r="A66" s="30"/>
      <c r="B66" s="30"/>
      <c r="C66" s="30"/>
      <c r="D66" s="30"/>
      <c r="E66" s="30"/>
      <c r="F66" s="30" t="s">
        <v>401</v>
      </c>
      <c r="G66" s="30" t="s">
        <v>628</v>
      </c>
      <c r="H66" s="30" t="s">
        <v>557</v>
      </c>
      <c r="I66" s="30" t="s">
        <v>487</v>
      </c>
      <c r="J66" s="30"/>
      <c r="K66" s="30"/>
      <c r="L66" s="30"/>
      <c r="M66" s="30"/>
      <c r="N66" s="30"/>
      <c r="O66" s="30"/>
      <c r="P66" s="30"/>
      <c r="Q66" s="30"/>
      <c r="R66" s="30" t="s">
        <v>120</v>
      </c>
      <c r="S66" s="30" t="s">
        <v>630</v>
      </c>
      <c r="T66" s="273" t="s">
        <v>631</v>
      </c>
      <c r="U66" s="30" t="s">
        <v>509</v>
      </c>
      <c r="V66" s="30"/>
      <c r="W66" s="257"/>
      <c r="X66" s="257"/>
      <c r="Y66" s="257"/>
      <c r="Z66" s="257"/>
      <c r="AA66" s="257"/>
    </row>
    <row r="67" spans="1:27" ht="16.5" customHeight="1" x14ac:dyDescent="0.25">
      <c r="A67" s="30"/>
      <c r="B67" s="30"/>
      <c r="C67" s="30"/>
      <c r="D67" s="30"/>
      <c r="E67" s="30"/>
      <c r="F67" s="30" t="s">
        <v>627</v>
      </c>
      <c r="G67" s="30" t="s">
        <v>600</v>
      </c>
      <c r="H67" s="30" t="s">
        <v>119</v>
      </c>
      <c r="I67" s="30" t="s">
        <v>487</v>
      </c>
      <c r="J67" s="30"/>
      <c r="K67" s="30"/>
      <c r="L67" s="30"/>
      <c r="M67" s="30"/>
      <c r="N67" s="30"/>
      <c r="O67" s="30"/>
      <c r="P67" s="30"/>
      <c r="Q67" s="30"/>
      <c r="R67" s="30" t="s">
        <v>632</v>
      </c>
      <c r="S67" s="30" t="s">
        <v>491</v>
      </c>
      <c r="T67" s="264" t="s">
        <v>492</v>
      </c>
      <c r="U67" s="30" t="s">
        <v>493</v>
      </c>
      <c r="V67" s="30"/>
      <c r="W67" s="257"/>
      <c r="X67" s="257"/>
      <c r="Y67" t="s">
        <v>484</v>
      </c>
      <c r="Z67" t="s">
        <v>144</v>
      </c>
      <c r="AA67" t="s">
        <v>492</v>
      </c>
    </row>
    <row r="68" spans="1:27" ht="16.5" customHeight="1" x14ac:dyDescent="0.25">
      <c r="A68" s="30"/>
      <c r="B68" s="30"/>
      <c r="C68" s="30"/>
      <c r="D68" s="30"/>
      <c r="E68" s="30"/>
      <c r="F68" s="30" t="s">
        <v>403</v>
      </c>
      <c r="G68" s="30" t="s">
        <v>628</v>
      </c>
      <c r="H68" s="30" t="s">
        <v>119</v>
      </c>
      <c r="I68" s="30" t="s">
        <v>487</v>
      </c>
      <c r="J68" s="30"/>
      <c r="K68" s="30"/>
      <c r="L68" s="30"/>
      <c r="M68" s="30"/>
      <c r="N68" s="30"/>
      <c r="O68" s="30"/>
      <c r="P68" s="30"/>
      <c r="Q68" s="30"/>
      <c r="R68" s="30" t="s">
        <v>406</v>
      </c>
      <c r="S68" s="30" t="s">
        <v>630</v>
      </c>
      <c r="T68" s="273" t="s">
        <v>631</v>
      </c>
      <c r="U68" s="30" t="s">
        <v>509</v>
      </c>
      <c r="V68" s="30"/>
      <c r="W68" s="257"/>
      <c r="X68" s="257"/>
      <c r="Y68" s="297" t="s">
        <v>503</v>
      </c>
      <c r="Z68" s="298" t="s">
        <v>144</v>
      </c>
      <c r="AA68" s="299" t="s">
        <v>508</v>
      </c>
    </row>
    <row r="69" spans="1:27" ht="16.5" customHeight="1" x14ac:dyDescent="0.25">
      <c r="A69" s="30"/>
      <c r="B69" s="30"/>
      <c r="C69" s="30"/>
      <c r="D69" s="30"/>
      <c r="E69" s="30"/>
      <c r="F69" s="30" t="s">
        <v>404</v>
      </c>
      <c r="G69" s="30" t="s">
        <v>628</v>
      </c>
      <c r="H69" s="30" t="s">
        <v>550</v>
      </c>
      <c r="I69" s="30" t="s">
        <v>487</v>
      </c>
      <c r="J69" s="30"/>
      <c r="K69" s="30"/>
      <c r="L69" s="30"/>
      <c r="M69" s="30"/>
      <c r="N69" s="30"/>
      <c r="O69" s="30"/>
      <c r="P69" s="30"/>
      <c r="Q69" s="30"/>
      <c r="R69" s="30" t="s">
        <v>407</v>
      </c>
      <c r="S69" s="30" t="s">
        <v>630</v>
      </c>
      <c r="T69" s="30" t="s">
        <v>482</v>
      </c>
      <c r="U69" s="30" t="s">
        <v>509</v>
      </c>
      <c r="V69" s="30"/>
      <c r="W69" s="257"/>
      <c r="X69" s="257"/>
      <c r="Y69" s="282" t="s">
        <v>546</v>
      </c>
      <c r="Z69" s="300" t="s">
        <v>144</v>
      </c>
      <c r="AA69" s="299" t="s">
        <v>479</v>
      </c>
    </row>
    <row r="70" spans="1:27" ht="16.5" customHeight="1" x14ac:dyDescent="0.25">
      <c r="A70" s="30"/>
      <c r="B70" s="30"/>
      <c r="C70" s="30"/>
      <c r="D70" s="30"/>
      <c r="E70" s="30"/>
      <c r="F70" s="301" t="s">
        <v>629</v>
      </c>
      <c r="G70" s="30" t="s">
        <v>633</v>
      </c>
      <c r="H70" s="30" t="s">
        <v>550</v>
      </c>
      <c r="I70" s="30" t="s">
        <v>487</v>
      </c>
      <c r="J70" s="30"/>
      <c r="K70" s="30"/>
      <c r="L70" s="30"/>
      <c r="M70" s="30"/>
      <c r="N70" s="30"/>
      <c r="O70" s="30"/>
      <c r="P70" s="30"/>
      <c r="Q70" s="30"/>
      <c r="R70" s="30" t="s">
        <v>634</v>
      </c>
      <c r="S70" s="30" t="s">
        <v>491</v>
      </c>
      <c r="T70" s="264" t="s">
        <v>492</v>
      </c>
      <c r="U70" s="30" t="s">
        <v>493</v>
      </c>
      <c r="V70" s="30"/>
      <c r="W70" s="257"/>
      <c r="X70" s="257"/>
      <c r="Y70" s="282" t="s">
        <v>565</v>
      </c>
      <c r="Z70" s="300" t="s">
        <v>144</v>
      </c>
      <c r="AA70" s="299" t="s">
        <v>516</v>
      </c>
    </row>
    <row r="71" spans="1:27" ht="16.5" customHeight="1" x14ac:dyDescent="0.25">
      <c r="A71" s="30"/>
      <c r="B71" s="30"/>
      <c r="C71" s="30"/>
      <c r="D71" s="30"/>
      <c r="E71" s="30"/>
      <c r="F71" s="30" t="s">
        <v>120</v>
      </c>
      <c r="G71" s="30" t="s">
        <v>635</v>
      </c>
      <c r="H71" s="30" t="s">
        <v>119</v>
      </c>
      <c r="I71" s="30" t="s">
        <v>487</v>
      </c>
      <c r="J71" s="30"/>
      <c r="K71" s="30"/>
      <c r="L71" s="30"/>
      <c r="M71" s="30"/>
      <c r="N71" s="30"/>
      <c r="O71" s="30"/>
      <c r="P71" s="30"/>
      <c r="Q71" s="30"/>
      <c r="R71" s="30" t="s">
        <v>409</v>
      </c>
      <c r="S71" s="30" t="s">
        <v>636</v>
      </c>
      <c r="T71" s="273" t="s">
        <v>479</v>
      </c>
      <c r="U71" s="30" t="s">
        <v>493</v>
      </c>
      <c r="V71" s="30"/>
      <c r="W71" s="257"/>
      <c r="X71" s="257"/>
      <c r="Y71" t="s">
        <v>413</v>
      </c>
      <c r="Z71" t="s">
        <v>144</v>
      </c>
      <c r="AA71" t="s">
        <v>480</v>
      </c>
    </row>
    <row r="72" spans="1:27" ht="16.5" customHeight="1" x14ac:dyDescent="0.25">
      <c r="A72" s="30"/>
      <c r="B72" s="30"/>
      <c r="C72" s="30"/>
      <c r="D72" s="30"/>
      <c r="E72" s="30"/>
      <c r="F72" s="30" t="s">
        <v>632</v>
      </c>
      <c r="G72" s="30" t="s">
        <v>485</v>
      </c>
      <c r="H72" s="30" t="s">
        <v>530</v>
      </c>
      <c r="I72" s="30" t="s">
        <v>487</v>
      </c>
      <c r="J72" s="30"/>
      <c r="K72" s="30"/>
      <c r="L72" s="30"/>
      <c r="M72" s="30"/>
      <c r="N72" s="30"/>
      <c r="O72" s="30"/>
      <c r="P72" s="30"/>
      <c r="Q72" s="30"/>
      <c r="R72" s="30" t="s">
        <v>410</v>
      </c>
      <c r="S72" s="30" t="s">
        <v>636</v>
      </c>
      <c r="T72" s="273" t="s">
        <v>479</v>
      </c>
      <c r="U72" s="30" t="s">
        <v>493</v>
      </c>
      <c r="V72" s="30"/>
      <c r="W72" s="257"/>
      <c r="X72" s="257"/>
      <c r="Y72" s="257" t="s">
        <v>416</v>
      </c>
      <c r="Z72" s="257" t="s">
        <v>144</v>
      </c>
      <c r="AA72" s="283" t="s">
        <v>481</v>
      </c>
    </row>
    <row r="73" spans="1:27" ht="16.5" customHeight="1" x14ac:dyDescent="0.25">
      <c r="A73" s="30"/>
      <c r="B73" s="30"/>
      <c r="C73" s="30"/>
      <c r="D73" s="30"/>
      <c r="E73" s="30"/>
      <c r="F73" s="30" t="s">
        <v>406</v>
      </c>
      <c r="G73" s="30" t="s">
        <v>628</v>
      </c>
      <c r="H73" s="30" t="s">
        <v>550</v>
      </c>
      <c r="I73" s="30" t="s">
        <v>487</v>
      </c>
      <c r="J73" s="30"/>
      <c r="K73" s="30"/>
      <c r="L73" s="30"/>
      <c r="M73" s="30"/>
      <c r="N73" s="30"/>
      <c r="O73" s="30"/>
      <c r="P73" s="30"/>
      <c r="Q73" s="30"/>
      <c r="R73" s="30" t="s">
        <v>411</v>
      </c>
      <c r="S73" s="30" t="s">
        <v>636</v>
      </c>
      <c r="T73" s="273" t="s">
        <v>479</v>
      </c>
      <c r="U73" s="30" t="s">
        <v>493</v>
      </c>
      <c r="V73" s="30"/>
      <c r="W73" s="257"/>
      <c r="X73" s="257"/>
      <c r="Y73" s="257" t="s">
        <v>431</v>
      </c>
      <c r="Z73" s="257" t="s">
        <v>144</v>
      </c>
      <c r="AA73" s="283" t="s">
        <v>631</v>
      </c>
    </row>
    <row r="74" spans="1:27" ht="16.5" customHeight="1" x14ac:dyDescent="0.25">
      <c r="A74" s="30"/>
      <c r="B74" s="30"/>
      <c r="C74" s="30"/>
      <c r="D74" s="30"/>
      <c r="E74" s="30"/>
      <c r="F74" s="30" t="s">
        <v>407</v>
      </c>
      <c r="G74" s="30" t="s">
        <v>605</v>
      </c>
      <c r="H74" s="30" t="s">
        <v>555</v>
      </c>
      <c r="I74" s="30" t="s">
        <v>487</v>
      </c>
      <c r="J74" s="30"/>
      <c r="K74" s="30"/>
      <c r="L74" s="30"/>
      <c r="M74" s="30"/>
      <c r="N74" s="30"/>
      <c r="O74" s="30"/>
      <c r="P74" s="30"/>
      <c r="Q74" s="30"/>
      <c r="R74" s="30" t="s">
        <v>412</v>
      </c>
      <c r="S74" s="30" t="s">
        <v>636</v>
      </c>
      <c r="T74" s="273" t="s">
        <v>479</v>
      </c>
      <c r="U74" s="30" t="s">
        <v>493</v>
      </c>
      <c r="V74" s="30"/>
      <c r="W74" s="257"/>
      <c r="X74" s="257"/>
      <c r="Y74" t="s">
        <v>407</v>
      </c>
      <c r="Z74" t="s">
        <v>144</v>
      </c>
      <c r="AA74" t="s">
        <v>482</v>
      </c>
    </row>
    <row r="75" spans="1:27" ht="16.5" customHeight="1" x14ac:dyDescent="0.25">
      <c r="A75" s="30"/>
      <c r="B75" s="30"/>
      <c r="C75" s="30"/>
      <c r="D75" s="30"/>
      <c r="E75" s="30"/>
      <c r="F75" s="30" t="s">
        <v>634</v>
      </c>
      <c r="G75" s="30" t="s">
        <v>485</v>
      </c>
      <c r="H75" s="30" t="s">
        <v>535</v>
      </c>
      <c r="I75" s="30" t="s">
        <v>487</v>
      </c>
      <c r="J75" s="30"/>
      <c r="K75" s="30"/>
      <c r="L75" s="30"/>
      <c r="M75" s="30"/>
      <c r="N75" s="30"/>
      <c r="O75" s="30"/>
      <c r="P75" s="30"/>
      <c r="Q75" s="30"/>
      <c r="R75" s="288" t="s">
        <v>413</v>
      </c>
      <c r="S75" s="30" t="s">
        <v>630</v>
      </c>
      <c r="T75" s="273" t="s">
        <v>480</v>
      </c>
      <c r="U75" s="30" t="s">
        <v>493</v>
      </c>
      <c r="V75" s="30"/>
      <c r="W75" s="257"/>
      <c r="X75" s="257"/>
      <c r="Y75" s="257"/>
      <c r="Z75" s="257"/>
      <c r="AA75" s="257"/>
    </row>
    <row r="76" spans="1:27" ht="24" customHeight="1" x14ac:dyDescent="0.25">
      <c r="A76" s="30"/>
      <c r="B76" s="30"/>
      <c r="C76" s="30"/>
      <c r="D76" s="30"/>
      <c r="E76" s="30"/>
      <c r="F76" s="30" t="s">
        <v>409</v>
      </c>
      <c r="G76" s="30" t="s">
        <v>637</v>
      </c>
      <c r="H76" s="30" t="s">
        <v>483</v>
      </c>
      <c r="I76" s="30" t="s">
        <v>487</v>
      </c>
      <c r="J76" s="30"/>
      <c r="K76" s="30"/>
      <c r="L76" s="30"/>
      <c r="M76" s="30"/>
      <c r="N76" s="30"/>
      <c r="O76" s="30"/>
      <c r="P76" s="30"/>
      <c r="Q76" s="30"/>
      <c r="R76" s="30" t="s">
        <v>638</v>
      </c>
      <c r="S76" s="296" t="s">
        <v>639</v>
      </c>
      <c r="T76" s="273" t="s">
        <v>516</v>
      </c>
      <c r="U76" s="30" t="s">
        <v>509</v>
      </c>
      <c r="V76" s="30"/>
      <c r="W76" s="257"/>
      <c r="X76" s="257"/>
      <c r="Y76" s="257"/>
      <c r="Z76" s="257"/>
      <c r="AA76" s="257"/>
    </row>
    <row r="77" spans="1:27" ht="16.5" customHeight="1" x14ac:dyDescent="0.25">
      <c r="A77" s="30"/>
      <c r="B77" s="30"/>
      <c r="C77" s="30"/>
      <c r="D77" s="30"/>
      <c r="E77" s="30"/>
      <c r="F77" s="30" t="s">
        <v>410</v>
      </c>
      <c r="G77" s="30" t="s">
        <v>637</v>
      </c>
      <c r="H77" s="30" t="s">
        <v>483</v>
      </c>
      <c r="I77" s="30" t="s">
        <v>487</v>
      </c>
      <c r="J77" s="30"/>
      <c r="K77" s="30"/>
      <c r="L77" s="30"/>
      <c r="M77" s="30"/>
      <c r="N77" s="30"/>
      <c r="O77" s="30"/>
      <c r="P77" s="30"/>
      <c r="Q77" s="30"/>
      <c r="R77" s="30" t="s">
        <v>640</v>
      </c>
      <c r="S77" s="30" t="s">
        <v>641</v>
      </c>
      <c r="T77" s="273" t="s">
        <v>516</v>
      </c>
      <c r="U77" s="30" t="s">
        <v>509</v>
      </c>
      <c r="V77" s="30"/>
      <c r="W77" s="257"/>
      <c r="X77" s="257"/>
      <c r="Y77" s="257"/>
      <c r="Z77" s="257"/>
      <c r="AA77" s="257"/>
    </row>
    <row r="78" spans="1:27" ht="16.5" customHeight="1" x14ac:dyDescent="0.25">
      <c r="A78" s="30"/>
      <c r="B78" s="30"/>
      <c r="C78" s="30"/>
      <c r="D78" s="30"/>
      <c r="E78" s="30"/>
      <c r="F78" s="30" t="s">
        <v>411</v>
      </c>
      <c r="G78" s="30" t="s">
        <v>637</v>
      </c>
      <c r="H78" s="30" t="s">
        <v>483</v>
      </c>
      <c r="I78" s="30" t="s">
        <v>487</v>
      </c>
      <c r="J78" s="30"/>
      <c r="K78" s="30"/>
      <c r="L78" s="30"/>
      <c r="M78" s="30"/>
      <c r="N78" s="30"/>
      <c r="O78" s="30"/>
      <c r="P78" s="30"/>
      <c r="Q78" s="30"/>
      <c r="R78" s="30" t="s">
        <v>416</v>
      </c>
      <c r="S78" s="30" t="s">
        <v>630</v>
      </c>
      <c r="T78" s="273" t="s">
        <v>481</v>
      </c>
      <c r="U78" s="30" t="s">
        <v>509</v>
      </c>
      <c r="V78" s="30"/>
      <c r="W78" s="257"/>
      <c r="X78" s="257"/>
      <c r="Y78" s="257"/>
      <c r="Z78" s="257"/>
      <c r="AA78" s="257"/>
    </row>
    <row r="79" spans="1:27" ht="16.5" customHeight="1" x14ac:dyDescent="0.25">
      <c r="A79" s="30"/>
      <c r="B79" s="30"/>
      <c r="C79" s="30"/>
      <c r="D79" s="30"/>
      <c r="E79" s="30"/>
      <c r="F79" s="30" t="s">
        <v>412</v>
      </c>
      <c r="G79" s="30" t="s">
        <v>637</v>
      </c>
      <c r="H79" s="30" t="s">
        <v>483</v>
      </c>
      <c r="I79" s="30" t="s">
        <v>487</v>
      </c>
      <c r="J79" s="30"/>
      <c r="K79" s="30"/>
      <c r="L79" s="30"/>
      <c r="M79" s="30"/>
      <c r="N79" s="30"/>
      <c r="O79" s="30"/>
      <c r="P79" s="30"/>
      <c r="Q79" s="30"/>
      <c r="R79" s="30" t="s">
        <v>642</v>
      </c>
      <c r="S79" s="30" t="s">
        <v>491</v>
      </c>
      <c r="T79" s="264" t="s">
        <v>492</v>
      </c>
      <c r="U79" s="30" t="s">
        <v>493</v>
      </c>
      <c r="V79" s="30"/>
      <c r="W79" s="257"/>
      <c r="X79" s="257"/>
      <c r="Y79" s="257"/>
      <c r="Z79" s="257"/>
      <c r="AA79" s="257"/>
    </row>
    <row r="80" spans="1:27" ht="16.5" customHeight="1" x14ac:dyDescent="0.25">
      <c r="A80" s="30"/>
      <c r="B80" s="30"/>
      <c r="C80" s="30"/>
      <c r="D80" s="30"/>
      <c r="E80" s="30"/>
      <c r="F80" s="30" t="s">
        <v>413</v>
      </c>
      <c r="G80" s="30" t="s">
        <v>633</v>
      </c>
      <c r="H80" s="30" t="s">
        <v>483</v>
      </c>
      <c r="I80" s="30" t="s">
        <v>487</v>
      </c>
      <c r="J80" s="30"/>
      <c r="K80" s="30"/>
      <c r="L80" s="30"/>
      <c r="M80" s="30"/>
      <c r="N80" s="30"/>
      <c r="O80" s="30"/>
      <c r="P80" s="30"/>
      <c r="Q80" s="30"/>
      <c r="R80" s="285" t="s">
        <v>643</v>
      </c>
      <c r="S80" s="30" t="s">
        <v>542</v>
      </c>
      <c r="T80" s="273" t="s">
        <v>516</v>
      </c>
      <c r="U80" s="30" t="s">
        <v>509</v>
      </c>
      <c r="V80" s="30"/>
      <c r="W80" s="257"/>
      <c r="X80" s="257"/>
      <c r="Y80" s="257"/>
      <c r="Z80" s="257"/>
      <c r="AA80" s="257"/>
    </row>
    <row r="81" spans="1:27" ht="16.5" customHeight="1" x14ac:dyDescent="0.25">
      <c r="A81" s="30"/>
      <c r="B81" s="30"/>
      <c r="C81" s="30"/>
      <c r="D81" s="30"/>
      <c r="E81" s="30"/>
      <c r="F81" s="30" t="s">
        <v>638</v>
      </c>
      <c r="G81" s="30" t="s">
        <v>596</v>
      </c>
      <c r="H81" s="30" t="s">
        <v>483</v>
      </c>
      <c r="I81" s="30" t="s">
        <v>487</v>
      </c>
      <c r="J81" s="30"/>
      <c r="K81" s="30"/>
      <c r="L81" s="30"/>
      <c r="M81" s="30"/>
      <c r="N81" s="30"/>
      <c r="O81" s="30"/>
      <c r="P81" s="30"/>
      <c r="Q81" s="30"/>
      <c r="R81" s="30" t="s">
        <v>419</v>
      </c>
      <c r="S81" s="30" t="s">
        <v>491</v>
      </c>
      <c r="T81" s="264" t="s">
        <v>492</v>
      </c>
      <c r="U81" s="30" t="s">
        <v>493</v>
      </c>
      <c r="V81" s="30"/>
      <c r="W81" s="257"/>
      <c r="X81" s="257"/>
      <c r="Y81" s="257"/>
      <c r="Z81" s="257"/>
      <c r="AA81" s="257"/>
    </row>
    <row r="82" spans="1:27" ht="16.5" customHeight="1" x14ac:dyDescent="0.25">
      <c r="A82" s="30"/>
      <c r="B82" s="30"/>
      <c r="C82" s="30"/>
      <c r="D82" s="30"/>
      <c r="E82" s="30"/>
      <c r="F82" s="30" t="s">
        <v>640</v>
      </c>
      <c r="G82" s="30" t="s">
        <v>633</v>
      </c>
      <c r="H82" s="30" t="s">
        <v>483</v>
      </c>
      <c r="I82" s="270" t="s">
        <v>505</v>
      </c>
      <c r="J82" s="30"/>
      <c r="K82" s="30"/>
      <c r="L82" s="30"/>
      <c r="M82" s="30"/>
      <c r="N82" s="30"/>
      <c r="O82" s="30"/>
      <c r="P82" s="30"/>
      <c r="Q82" s="30"/>
      <c r="R82" s="30" t="s">
        <v>644</v>
      </c>
      <c r="S82" s="30" t="s">
        <v>630</v>
      </c>
      <c r="T82" s="30" t="s">
        <v>482</v>
      </c>
      <c r="U82" s="30" t="s">
        <v>509</v>
      </c>
      <c r="V82" s="30"/>
      <c r="W82" s="257"/>
      <c r="X82" s="257"/>
      <c r="Y82" s="257"/>
      <c r="Z82" s="257"/>
      <c r="AA82" s="257"/>
    </row>
    <row r="83" spans="1:27" ht="16.5" customHeight="1" x14ac:dyDescent="0.25">
      <c r="A83" s="30"/>
      <c r="B83" s="30"/>
      <c r="C83" s="30"/>
      <c r="D83" s="30"/>
      <c r="E83" s="30"/>
      <c r="F83" s="30" t="s">
        <v>416</v>
      </c>
      <c r="G83" s="30" t="s">
        <v>600</v>
      </c>
      <c r="H83" s="30" t="s">
        <v>119</v>
      </c>
      <c r="I83" s="30" t="s">
        <v>487</v>
      </c>
      <c r="J83" s="30"/>
      <c r="K83" s="30"/>
      <c r="L83" s="30"/>
      <c r="M83" s="30"/>
      <c r="N83" s="30"/>
      <c r="O83" s="30"/>
      <c r="P83" s="30"/>
      <c r="Q83" s="30"/>
      <c r="R83" s="30" t="s">
        <v>645</v>
      </c>
      <c r="S83" s="30" t="s">
        <v>491</v>
      </c>
      <c r="T83" s="264" t="s">
        <v>492</v>
      </c>
      <c r="U83" s="30" t="s">
        <v>493</v>
      </c>
      <c r="V83" s="30"/>
      <c r="W83" s="257"/>
      <c r="X83" s="257"/>
      <c r="Y83" s="257"/>
      <c r="Z83" s="257"/>
      <c r="AA83" s="257"/>
    </row>
    <row r="84" spans="1:27" ht="16.5" customHeight="1" x14ac:dyDescent="0.25">
      <c r="A84" s="30"/>
      <c r="B84" s="30"/>
      <c r="C84" s="30"/>
      <c r="D84" s="30"/>
      <c r="E84" s="30"/>
      <c r="F84" s="30" t="s">
        <v>642</v>
      </c>
      <c r="G84" s="30" t="s">
        <v>485</v>
      </c>
      <c r="H84" s="30" t="s">
        <v>539</v>
      </c>
      <c r="I84" s="30" t="s">
        <v>487</v>
      </c>
      <c r="J84" s="30"/>
      <c r="K84" s="30"/>
      <c r="L84" s="30"/>
      <c r="M84" s="30"/>
      <c r="N84" s="30"/>
      <c r="O84" s="30"/>
      <c r="P84" s="30"/>
      <c r="Q84" s="30"/>
      <c r="R84" s="30" t="s">
        <v>646</v>
      </c>
      <c r="S84" s="30" t="s">
        <v>491</v>
      </c>
      <c r="T84" s="264" t="s">
        <v>492</v>
      </c>
      <c r="U84" s="30" t="s">
        <v>493</v>
      </c>
      <c r="V84" s="30"/>
      <c r="W84" s="257"/>
      <c r="X84" s="257"/>
      <c r="Y84" s="257"/>
      <c r="Z84" s="257"/>
      <c r="AA84" s="257"/>
    </row>
    <row r="85" spans="1:27" ht="16.5" customHeight="1" x14ac:dyDescent="0.25">
      <c r="A85" s="30"/>
      <c r="B85" s="30"/>
      <c r="C85" s="30"/>
      <c r="D85" s="30"/>
      <c r="E85" s="30"/>
      <c r="F85" s="284" t="s">
        <v>643</v>
      </c>
      <c r="G85" s="30" t="s">
        <v>598</v>
      </c>
      <c r="H85" s="30" t="s">
        <v>557</v>
      </c>
      <c r="I85" s="270" t="s">
        <v>505</v>
      </c>
      <c r="J85" s="30"/>
      <c r="K85" s="30"/>
      <c r="L85" s="30"/>
      <c r="M85" s="30"/>
      <c r="N85" s="30"/>
      <c r="O85" s="30"/>
      <c r="P85" s="30"/>
      <c r="Q85" s="30"/>
      <c r="R85" s="30" t="s">
        <v>423</v>
      </c>
      <c r="S85" s="30" t="s">
        <v>630</v>
      </c>
      <c r="T85" s="273" t="s">
        <v>481</v>
      </c>
      <c r="U85" s="30" t="s">
        <v>509</v>
      </c>
      <c r="V85" s="30"/>
      <c r="W85" s="257"/>
      <c r="X85" s="257"/>
      <c r="Y85" s="257"/>
      <c r="Z85" s="257"/>
      <c r="AA85" s="257"/>
    </row>
    <row r="86" spans="1:27" ht="16.5" customHeight="1" x14ac:dyDescent="0.25">
      <c r="A86" s="30"/>
      <c r="B86" s="30"/>
      <c r="C86" s="30"/>
      <c r="D86" s="30"/>
      <c r="E86" s="30"/>
      <c r="F86" s="30" t="s">
        <v>419</v>
      </c>
      <c r="G86" s="30" t="s">
        <v>513</v>
      </c>
      <c r="H86" s="30" t="s">
        <v>547</v>
      </c>
      <c r="I86" s="270" t="s">
        <v>505</v>
      </c>
      <c r="J86" s="30"/>
      <c r="K86" s="30"/>
      <c r="L86" s="30"/>
      <c r="M86" s="30"/>
      <c r="N86" s="30"/>
      <c r="O86" s="30"/>
      <c r="P86" s="30"/>
      <c r="Q86" s="30"/>
      <c r="R86" s="30" t="s">
        <v>424</v>
      </c>
      <c r="S86" s="30" t="s">
        <v>630</v>
      </c>
      <c r="T86" s="273" t="s">
        <v>631</v>
      </c>
      <c r="U86" s="30" t="s">
        <v>509</v>
      </c>
      <c r="V86" s="30"/>
      <c r="W86" s="257"/>
      <c r="X86" s="257"/>
      <c r="Y86" s="257"/>
      <c r="Z86" s="257"/>
      <c r="AA86" s="257"/>
    </row>
    <row r="87" spans="1:27" ht="16.5" customHeight="1" x14ac:dyDescent="0.25">
      <c r="A87" s="30"/>
      <c r="B87" s="30"/>
      <c r="C87" s="30"/>
      <c r="D87" s="30"/>
      <c r="E87" s="30"/>
      <c r="F87" s="30" t="s">
        <v>644</v>
      </c>
      <c r="G87" s="30" t="s">
        <v>605</v>
      </c>
      <c r="H87" s="30" t="s">
        <v>541</v>
      </c>
      <c r="I87" s="30" t="s">
        <v>487</v>
      </c>
      <c r="J87" s="30"/>
      <c r="K87" s="30"/>
      <c r="L87" s="30"/>
      <c r="M87" s="30"/>
      <c r="N87" s="30"/>
      <c r="O87" s="30"/>
      <c r="P87" s="30"/>
      <c r="Q87" s="30"/>
      <c r="R87" s="30" t="s">
        <v>425</v>
      </c>
      <c r="S87" s="30" t="s">
        <v>630</v>
      </c>
      <c r="T87" s="273" t="s">
        <v>481</v>
      </c>
      <c r="U87" s="30" t="s">
        <v>509</v>
      </c>
      <c r="V87" s="30"/>
      <c r="W87" s="257"/>
      <c r="X87" s="257"/>
      <c r="Y87" s="257"/>
      <c r="Z87" s="257"/>
      <c r="AA87" s="257"/>
    </row>
    <row r="88" spans="1:27" ht="16.5" customHeight="1" x14ac:dyDescent="0.35">
      <c r="A88" s="30"/>
      <c r="B88" s="30"/>
      <c r="C88" s="30"/>
      <c r="D88" s="30"/>
      <c r="E88" s="30"/>
      <c r="F88" s="30" t="s">
        <v>645</v>
      </c>
      <c r="G88" s="30" t="s">
        <v>485</v>
      </c>
      <c r="H88" s="30" t="s">
        <v>545</v>
      </c>
      <c r="I88" s="30" t="s">
        <v>487</v>
      </c>
      <c r="J88" s="30"/>
      <c r="K88" s="30"/>
      <c r="L88" s="30"/>
      <c r="M88" s="30"/>
      <c r="N88" s="30"/>
      <c r="O88" s="30"/>
      <c r="P88" s="30"/>
      <c r="Q88" s="30"/>
      <c r="R88" s="30" t="s">
        <v>426</v>
      </c>
      <c r="S88" s="30" t="s">
        <v>630</v>
      </c>
      <c r="T88" s="273" t="s">
        <v>631</v>
      </c>
      <c r="U88" s="30" t="s">
        <v>509</v>
      </c>
      <c r="V88" s="30"/>
      <c r="W88" s="302"/>
      <c r="X88" s="302"/>
      <c r="Y88" s="302"/>
      <c r="Z88" s="302"/>
      <c r="AA88" s="302"/>
    </row>
    <row r="89" spans="1:27" ht="16.5" customHeight="1" x14ac:dyDescent="0.35">
      <c r="A89" s="30"/>
      <c r="B89" s="30"/>
      <c r="C89" s="30"/>
      <c r="D89" s="30"/>
      <c r="E89" s="30"/>
      <c r="F89" s="30" t="s">
        <v>646</v>
      </c>
      <c r="G89" s="30" t="s">
        <v>485</v>
      </c>
      <c r="H89" s="30" t="s">
        <v>548</v>
      </c>
      <c r="I89" s="30" t="s">
        <v>487</v>
      </c>
      <c r="J89" s="30"/>
      <c r="K89" s="30"/>
      <c r="L89" s="30"/>
      <c r="M89" s="30"/>
      <c r="N89" s="30"/>
      <c r="O89" s="30"/>
      <c r="P89" s="30"/>
      <c r="Q89" s="30"/>
      <c r="R89" s="30" t="s">
        <v>427</v>
      </c>
      <c r="S89" s="30" t="s">
        <v>630</v>
      </c>
      <c r="T89" s="273" t="s">
        <v>481</v>
      </c>
      <c r="U89" s="30" t="s">
        <v>509</v>
      </c>
      <c r="V89" s="30"/>
      <c r="W89" s="302"/>
      <c r="X89" s="302"/>
      <c r="Y89" s="302"/>
      <c r="Z89" s="302"/>
      <c r="AA89" s="302"/>
    </row>
    <row r="90" spans="1:27" ht="16.5" customHeight="1" x14ac:dyDescent="0.35">
      <c r="A90" s="30"/>
      <c r="B90" s="30"/>
      <c r="C90" s="30"/>
      <c r="D90" s="30"/>
      <c r="E90" s="30"/>
      <c r="F90" s="30" t="s">
        <v>423</v>
      </c>
      <c r="G90" s="30" t="s">
        <v>600</v>
      </c>
      <c r="H90" s="30" t="s">
        <v>119</v>
      </c>
      <c r="I90" s="30" t="s">
        <v>487</v>
      </c>
      <c r="J90" s="30"/>
      <c r="K90" s="30"/>
      <c r="L90" s="30"/>
      <c r="M90" s="30"/>
      <c r="N90" s="30"/>
      <c r="O90" s="30"/>
      <c r="P90" s="30"/>
      <c r="Q90" s="30"/>
      <c r="R90" s="30" t="s">
        <v>428</v>
      </c>
      <c r="S90" s="30" t="s">
        <v>630</v>
      </c>
      <c r="T90" s="273" t="s">
        <v>631</v>
      </c>
      <c r="U90" s="30" t="s">
        <v>509</v>
      </c>
      <c r="V90" s="30"/>
      <c r="W90" s="302"/>
      <c r="X90" s="302"/>
      <c r="Y90" s="302"/>
      <c r="Z90" s="302"/>
      <c r="AA90" s="302"/>
    </row>
    <row r="91" spans="1:27" ht="16.5" customHeight="1" x14ac:dyDescent="0.25">
      <c r="A91" s="30"/>
      <c r="B91" s="30"/>
      <c r="C91" s="30"/>
      <c r="D91" s="30"/>
      <c r="E91" s="30"/>
      <c r="F91" s="30" t="s">
        <v>424</v>
      </c>
      <c r="G91" s="30" t="s">
        <v>600</v>
      </c>
      <c r="H91" s="30" t="s">
        <v>119</v>
      </c>
      <c r="I91" s="30" t="s">
        <v>487</v>
      </c>
      <c r="J91" s="30"/>
      <c r="K91" s="30"/>
      <c r="L91" s="30"/>
      <c r="M91" s="30"/>
      <c r="N91" s="30"/>
      <c r="O91" s="30"/>
      <c r="P91" s="30"/>
      <c r="Q91" s="30"/>
      <c r="R91" s="30" t="s">
        <v>429</v>
      </c>
      <c r="S91" s="30" t="s">
        <v>630</v>
      </c>
      <c r="T91" s="273" t="s">
        <v>481</v>
      </c>
      <c r="U91" s="30" t="s">
        <v>509</v>
      </c>
      <c r="V91" s="30"/>
    </row>
    <row r="92" spans="1:27" ht="16.5" customHeight="1" x14ac:dyDescent="0.25">
      <c r="A92" s="30"/>
      <c r="B92" s="30"/>
      <c r="C92" s="30"/>
      <c r="D92" s="30"/>
      <c r="E92" s="30"/>
      <c r="F92" s="30" t="s">
        <v>425</v>
      </c>
      <c r="G92" s="30" t="s">
        <v>600</v>
      </c>
      <c r="H92" s="30" t="s">
        <v>119</v>
      </c>
      <c r="I92" s="30" t="s">
        <v>487</v>
      </c>
      <c r="J92" s="30"/>
      <c r="K92" s="30"/>
      <c r="L92" s="30"/>
      <c r="M92" s="30"/>
      <c r="N92" s="30"/>
      <c r="O92" s="30"/>
      <c r="P92" s="30"/>
      <c r="Q92" s="30"/>
      <c r="R92" s="30" t="s">
        <v>430</v>
      </c>
      <c r="S92" s="30" t="s">
        <v>630</v>
      </c>
      <c r="T92" s="273" t="s">
        <v>631</v>
      </c>
      <c r="U92" s="30" t="s">
        <v>509</v>
      </c>
      <c r="V92" s="30"/>
    </row>
    <row r="93" spans="1:27" ht="16.5" customHeight="1" x14ac:dyDescent="0.25">
      <c r="A93" s="30"/>
      <c r="B93" s="30"/>
      <c r="C93" s="30"/>
      <c r="D93" s="30"/>
      <c r="E93" s="30"/>
      <c r="F93" s="30" t="s">
        <v>426</v>
      </c>
      <c r="G93" s="30" t="s">
        <v>628</v>
      </c>
      <c r="H93" s="30" t="s">
        <v>119</v>
      </c>
      <c r="I93" s="30" t="s">
        <v>487</v>
      </c>
      <c r="J93" s="30"/>
      <c r="K93" s="30"/>
      <c r="L93" s="30"/>
      <c r="M93" s="30"/>
      <c r="N93" s="30"/>
      <c r="O93" s="30"/>
      <c r="P93" s="30"/>
      <c r="Q93" s="30"/>
      <c r="R93" s="30" t="s">
        <v>431</v>
      </c>
      <c r="S93" s="30" t="s">
        <v>630</v>
      </c>
      <c r="T93" s="273" t="s">
        <v>631</v>
      </c>
      <c r="U93" s="30" t="s">
        <v>509</v>
      </c>
      <c r="V93" s="30"/>
    </row>
    <row r="94" spans="1:27" ht="16.5" customHeight="1" x14ac:dyDescent="0.25">
      <c r="A94" s="30"/>
      <c r="B94" s="30"/>
      <c r="C94" s="30"/>
      <c r="D94" s="30"/>
      <c r="E94" s="30"/>
      <c r="F94" s="30" t="s">
        <v>427</v>
      </c>
      <c r="G94" s="273" t="s">
        <v>605</v>
      </c>
      <c r="H94" s="30" t="s">
        <v>119</v>
      </c>
      <c r="I94" s="30" t="s">
        <v>487</v>
      </c>
      <c r="J94" s="30"/>
      <c r="K94" s="30"/>
      <c r="L94" s="30"/>
      <c r="M94" s="30"/>
      <c r="N94" s="30"/>
      <c r="O94" s="30"/>
      <c r="P94" s="30"/>
      <c r="Q94" s="30"/>
      <c r="R94" s="30" t="s">
        <v>432</v>
      </c>
      <c r="S94" s="278" t="s">
        <v>630</v>
      </c>
      <c r="T94" s="273" t="s">
        <v>631</v>
      </c>
      <c r="U94" s="30" t="s">
        <v>509</v>
      </c>
      <c r="V94" s="30"/>
    </row>
    <row r="95" spans="1:27" ht="16.5" customHeight="1" x14ac:dyDescent="0.25">
      <c r="A95" s="30"/>
      <c r="B95" s="30"/>
      <c r="C95" s="30"/>
      <c r="D95" s="30"/>
      <c r="E95" s="30"/>
      <c r="F95" s="30" t="s">
        <v>428</v>
      </c>
      <c r="G95" s="30" t="s">
        <v>600</v>
      </c>
      <c r="H95" s="30" t="s">
        <v>119</v>
      </c>
      <c r="I95" s="30" t="s">
        <v>487</v>
      </c>
      <c r="J95" s="30"/>
      <c r="K95" s="30"/>
      <c r="L95" s="30"/>
      <c r="M95" s="30"/>
      <c r="N95" s="30"/>
      <c r="O95" s="30"/>
      <c r="P95" s="30"/>
      <c r="Q95" s="30"/>
      <c r="R95" s="30" t="s">
        <v>647</v>
      </c>
      <c r="S95" s="30" t="s">
        <v>491</v>
      </c>
      <c r="T95" s="264" t="s">
        <v>492</v>
      </c>
      <c r="U95" s="30" t="s">
        <v>493</v>
      </c>
      <c r="V95" s="30"/>
    </row>
    <row r="96" spans="1:27" ht="16.5" customHeight="1" x14ac:dyDescent="0.25">
      <c r="A96" s="30"/>
      <c r="B96" s="30"/>
      <c r="C96" s="30"/>
      <c r="D96" s="30"/>
      <c r="E96" s="30"/>
      <c r="F96" s="30" t="s">
        <v>429</v>
      </c>
      <c r="G96" s="30" t="s">
        <v>600</v>
      </c>
      <c r="H96" s="30" t="s">
        <v>119</v>
      </c>
      <c r="I96" s="30" t="s">
        <v>487</v>
      </c>
      <c r="J96" s="30"/>
      <c r="K96" s="30"/>
      <c r="L96" s="30"/>
      <c r="M96" s="30"/>
      <c r="N96" s="30"/>
      <c r="O96" s="30"/>
      <c r="P96" s="30"/>
      <c r="Q96" s="30"/>
      <c r="R96" s="30" t="s">
        <v>648</v>
      </c>
      <c r="S96" s="30" t="s">
        <v>491</v>
      </c>
      <c r="T96" s="264" t="s">
        <v>492</v>
      </c>
      <c r="U96" s="30" t="s">
        <v>493</v>
      </c>
      <c r="V96" s="30"/>
    </row>
    <row r="97" spans="1:28" ht="16.5" customHeight="1" x14ac:dyDescent="0.25">
      <c r="A97" s="30"/>
      <c r="B97" s="30"/>
      <c r="C97" s="30"/>
      <c r="D97" s="30"/>
      <c r="E97" s="30"/>
      <c r="F97" s="30" t="s">
        <v>430</v>
      </c>
      <c r="G97" s="30" t="s">
        <v>600</v>
      </c>
      <c r="H97" s="30" t="s">
        <v>119</v>
      </c>
      <c r="I97" s="30" t="s">
        <v>487</v>
      </c>
      <c r="J97" s="30"/>
      <c r="K97" s="30"/>
      <c r="L97" s="30"/>
      <c r="M97" s="30"/>
      <c r="N97" s="30"/>
      <c r="O97" s="30"/>
      <c r="P97" s="30"/>
      <c r="Q97" s="30"/>
      <c r="R97" s="30"/>
    </row>
    <row r="98" spans="1:28" ht="16.5" customHeight="1" x14ac:dyDescent="0.25">
      <c r="A98" s="30"/>
      <c r="B98" s="30"/>
      <c r="C98" s="30"/>
      <c r="D98" s="30"/>
      <c r="E98" s="30"/>
      <c r="F98" s="30" t="s">
        <v>431</v>
      </c>
      <c r="G98" s="30" t="s">
        <v>600</v>
      </c>
      <c r="H98" s="30" t="s">
        <v>119</v>
      </c>
      <c r="I98" s="30" t="s">
        <v>487</v>
      </c>
      <c r="J98" s="30"/>
      <c r="K98" s="30"/>
      <c r="L98" s="30"/>
      <c r="M98" s="30"/>
      <c r="N98" s="30"/>
      <c r="O98" s="30"/>
      <c r="P98" s="30"/>
      <c r="Q98" s="30"/>
      <c r="R98" s="30"/>
    </row>
    <row r="99" spans="1:28" ht="16.5" customHeight="1" x14ac:dyDescent="0.25">
      <c r="A99" s="30"/>
      <c r="B99" s="30"/>
      <c r="C99" s="30"/>
      <c r="D99" s="30"/>
      <c r="E99" s="30"/>
      <c r="F99" s="30" t="s">
        <v>432</v>
      </c>
      <c r="G99" s="30" t="s">
        <v>600</v>
      </c>
      <c r="H99" s="30" t="s">
        <v>119</v>
      </c>
      <c r="I99" s="30" t="s">
        <v>487</v>
      </c>
      <c r="J99" s="30"/>
      <c r="K99" s="30"/>
      <c r="L99" s="30"/>
      <c r="M99" s="30"/>
      <c r="N99" s="30"/>
      <c r="O99" s="30"/>
      <c r="P99" s="30"/>
      <c r="Q99" s="30"/>
      <c r="R99" s="30"/>
      <c r="S99" s="30"/>
      <c r="T99" s="30"/>
      <c r="U99" s="30"/>
      <c r="V99" s="30"/>
    </row>
    <row r="100" spans="1:28" ht="16.5" customHeight="1" x14ac:dyDescent="0.25">
      <c r="A100" s="30"/>
      <c r="B100" s="30"/>
      <c r="C100" s="30"/>
      <c r="D100" s="30"/>
      <c r="E100" s="30"/>
      <c r="F100" s="30" t="s">
        <v>647</v>
      </c>
      <c r="G100" s="30" t="s">
        <v>485</v>
      </c>
      <c r="H100" s="30" t="s">
        <v>551</v>
      </c>
      <c r="I100" s="30" t="s">
        <v>487</v>
      </c>
      <c r="J100" s="30"/>
      <c r="K100" s="30"/>
      <c r="L100" s="30"/>
      <c r="M100" s="30"/>
      <c r="N100" s="30"/>
      <c r="O100" s="30"/>
      <c r="P100" s="30"/>
      <c r="Q100" s="30"/>
      <c r="R100" s="30"/>
    </row>
    <row r="101" spans="1:28" ht="16.5" customHeight="1" x14ac:dyDescent="0.25">
      <c r="A101" s="30"/>
      <c r="B101" s="30" t="s">
        <v>649</v>
      </c>
      <c r="C101" s="30"/>
      <c r="D101" s="30"/>
      <c r="E101" s="30"/>
      <c r="F101" s="282" t="s">
        <v>648</v>
      </c>
      <c r="G101" s="30" t="s">
        <v>485</v>
      </c>
      <c r="H101" s="30" t="s">
        <v>553</v>
      </c>
      <c r="I101" s="30" t="s">
        <v>487</v>
      </c>
      <c r="J101" s="30"/>
      <c r="K101" s="30"/>
      <c r="L101" s="30"/>
      <c r="M101" s="30"/>
      <c r="N101" s="30"/>
      <c r="O101" s="30"/>
      <c r="P101" s="30"/>
      <c r="Q101" s="30"/>
      <c r="R101" s="30"/>
    </row>
    <row r="102" spans="1:28" ht="16.5" customHeight="1" x14ac:dyDescent="0.25">
      <c r="A102" s="30"/>
      <c r="B102" s="30" t="s">
        <v>487</v>
      </c>
      <c r="C102" s="30"/>
      <c r="D102" s="30"/>
      <c r="E102" s="30"/>
      <c r="F102" s="30"/>
      <c r="G102" s="30"/>
      <c r="H102" s="30"/>
      <c r="I102" s="30"/>
      <c r="J102" s="30"/>
      <c r="K102" s="30"/>
      <c r="L102" s="30"/>
      <c r="M102" s="30"/>
      <c r="N102" s="30"/>
      <c r="O102" s="30"/>
      <c r="P102" s="30"/>
      <c r="Q102" s="30"/>
      <c r="R102" s="30"/>
    </row>
    <row r="103" spans="1:28" ht="16.5" customHeight="1" x14ac:dyDescent="0.25">
      <c r="A103" s="30"/>
      <c r="B103" s="30" t="s">
        <v>505</v>
      </c>
      <c r="C103" s="30"/>
      <c r="D103" s="30"/>
      <c r="E103" s="30"/>
      <c r="F103" s="30"/>
      <c r="G103" s="30"/>
      <c r="H103" s="30"/>
      <c r="I103" s="30"/>
      <c r="J103" s="30"/>
      <c r="K103" s="30"/>
      <c r="L103" s="30"/>
      <c r="M103" s="30"/>
      <c r="N103" s="30"/>
      <c r="O103" s="30"/>
      <c r="P103" s="30"/>
      <c r="Q103" s="30"/>
      <c r="R103" s="30"/>
    </row>
    <row r="104" spans="1:28" ht="16.5" customHeight="1" x14ac:dyDescent="0.25">
      <c r="A104" s="30"/>
      <c r="B104" s="30"/>
      <c r="C104" s="30"/>
      <c r="D104" s="30"/>
      <c r="E104" s="30"/>
      <c r="F104" s="30"/>
      <c r="G104" s="30"/>
      <c r="H104" s="30"/>
      <c r="I104" s="30"/>
      <c r="J104" s="30"/>
      <c r="K104" s="30"/>
      <c r="L104" s="30"/>
      <c r="M104" s="30"/>
      <c r="N104" s="30"/>
      <c r="O104" s="30"/>
      <c r="P104" s="30"/>
      <c r="Q104" s="30"/>
      <c r="R104" s="30"/>
    </row>
    <row r="105" spans="1:28" ht="16.5" customHeight="1" x14ac:dyDescent="0.25">
      <c r="F105" s="30"/>
      <c r="G105" s="30"/>
      <c r="H105" s="30"/>
      <c r="R105" s="30"/>
      <c r="W105" s="257"/>
      <c r="X105" s="257"/>
      <c r="Y105" s="257"/>
      <c r="Z105" s="257"/>
      <c r="AA105" s="257"/>
      <c r="AB105" s="257"/>
    </row>
    <row r="106" spans="1:28" ht="14.25" customHeight="1" x14ac:dyDescent="0.25">
      <c r="F106" s="30"/>
      <c r="G106" s="30"/>
      <c r="H106" s="30"/>
      <c r="W106" s="257"/>
      <c r="X106" s="257"/>
      <c r="Y106" s="257"/>
      <c r="Z106" s="257"/>
      <c r="AA106" s="257"/>
      <c r="AB106" s="257"/>
    </row>
    <row r="107" spans="1:28" ht="14.25" customHeight="1" x14ac:dyDescent="0.25">
      <c r="F107" s="30"/>
      <c r="G107" s="30"/>
      <c r="H107" s="30"/>
      <c r="W107" s="257"/>
      <c r="X107" s="257"/>
      <c r="Y107" s="257"/>
      <c r="Z107" s="257"/>
      <c r="AA107" s="257"/>
      <c r="AB107" s="257"/>
    </row>
    <row r="108" spans="1:28" ht="14.25" customHeight="1" x14ac:dyDescent="0.25">
      <c r="F108" s="30"/>
      <c r="G108" s="30"/>
      <c r="H108" s="30"/>
      <c r="W108" s="257"/>
      <c r="X108" s="257"/>
      <c r="Y108" s="257"/>
      <c r="Z108" s="257"/>
      <c r="AA108" s="257"/>
      <c r="AB108" s="257"/>
    </row>
    <row r="109" spans="1:28" ht="14.25" customHeight="1" x14ac:dyDescent="0.25">
      <c r="F109" s="30"/>
      <c r="G109" s="30"/>
      <c r="H109" s="30"/>
      <c r="W109" s="257"/>
      <c r="X109" s="257"/>
      <c r="Y109" s="257"/>
      <c r="Z109" s="257"/>
      <c r="AA109" s="257"/>
      <c r="AB109" s="257"/>
    </row>
    <row r="110" spans="1:28" ht="14.25" customHeight="1" x14ac:dyDescent="0.25">
      <c r="F110" s="30"/>
      <c r="G110" s="30"/>
      <c r="H110" s="30"/>
      <c r="W110" s="257"/>
      <c r="X110" s="257"/>
      <c r="Y110" s="257"/>
      <c r="Z110" s="257"/>
      <c r="AA110" s="257"/>
      <c r="AB110" s="257"/>
    </row>
    <row r="111" spans="1:28" ht="14.25" customHeight="1" x14ac:dyDescent="0.25">
      <c r="F111" s="30"/>
      <c r="G111" s="30"/>
      <c r="H111" s="30"/>
      <c r="W111" s="257"/>
      <c r="X111" s="257"/>
      <c r="Y111" s="257"/>
      <c r="Z111" s="257"/>
      <c r="AA111" s="257"/>
      <c r="AB111" s="257"/>
    </row>
    <row r="112" spans="1:28" ht="14.25" customHeight="1" x14ac:dyDescent="0.25">
      <c r="F112" s="30"/>
      <c r="G112" s="30"/>
      <c r="H112" s="30"/>
      <c r="W112" s="257"/>
      <c r="X112" s="257"/>
      <c r="Y112" s="257"/>
      <c r="Z112" s="257"/>
      <c r="AA112" s="257"/>
      <c r="AB112" s="257"/>
    </row>
    <row r="113" spans="6:28" ht="14.25" customHeight="1" x14ac:dyDescent="0.25">
      <c r="F113" s="30"/>
      <c r="G113" s="30"/>
      <c r="H113" s="30"/>
      <c r="W113" s="257"/>
      <c r="X113" s="257"/>
      <c r="Y113" s="257"/>
      <c r="Z113" s="257"/>
      <c r="AA113" s="257"/>
      <c r="AB113" s="257"/>
    </row>
    <row r="114" spans="6:28" ht="14.25" customHeight="1" x14ac:dyDescent="0.25">
      <c r="F114" s="30"/>
      <c r="G114" s="30"/>
      <c r="H114" s="30"/>
      <c r="W114" s="257"/>
      <c r="X114" s="257"/>
      <c r="Y114" s="257"/>
      <c r="Z114" s="257"/>
      <c r="AA114" s="257"/>
      <c r="AB114" s="257"/>
    </row>
    <row r="115" spans="6:28" ht="14.25" customHeight="1" x14ac:dyDescent="0.25">
      <c r="F115" s="30"/>
      <c r="G115" s="30"/>
      <c r="H115" s="30"/>
      <c r="W115" s="257"/>
      <c r="X115" s="257"/>
      <c r="Y115" s="257"/>
      <c r="Z115" s="257"/>
      <c r="AA115" s="257"/>
      <c r="AB115" s="257"/>
    </row>
    <row r="116" spans="6:28" ht="14.25" customHeight="1" x14ac:dyDescent="0.25">
      <c r="F116" s="30"/>
      <c r="G116" s="30"/>
      <c r="H116" s="30"/>
      <c r="W116" s="257"/>
      <c r="X116" s="257"/>
      <c r="Y116" s="257"/>
      <c r="Z116" s="257"/>
      <c r="AA116" s="257"/>
      <c r="AB116" s="257"/>
    </row>
    <row r="117" spans="6:28" ht="14.25" customHeight="1" x14ac:dyDescent="0.25">
      <c r="F117" s="30"/>
      <c r="G117" s="30"/>
      <c r="H117" s="30"/>
      <c r="W117" s="257"/>
      <c r="X117" s="257"/>
      <c r="Y117" s="257"/>
      <c r="Z117" s="257"/>
      <c r="AA117" s="257"/>
      <c r="AB117" s="257"/>
    </row>
    <row r="118" spans="6:28" ht="14.25" customHeight="1" x14ac:dyDescent="0.25">
      <c r="F118" s="30"/>
      <c r="G118" s="30"/>
      <c r="H118" s="30"/>
      <c r="W118" s="257"/>
      <c r="X118" s="257"/>
      <c r="Y118" s="257"/>
      <c r="Z118" s="257"/>
      <c r="AA118" s="257"/>
      <c r="AB118" s="257"/>
    </row>
    <row r="119" spans="6:28" ht="14.25" customHeight="1" x14ac:dyDescent="0.25">
      <c r="F119" s="30"/>
      <c r="G119" s="30"/>
      <c r="H119" s="30"/>
      <c r="W119" s="257"/>
      <c r="X119" s="257"/>
      <c r="Y119" s="257"/>
      <c r="Z119" s="257"/>
      <c r="AA119" s="257"/>
      <c r="AB119" s="257"/>
    </row>
    <row r="120" spans="6:28" ht="14.25" customHeight="1" x14ac:dyDescent="0.25">
      <c r="F120" s="30"/>
      <c r="G120" s="30"/>
      <c r="H120" s="30"/>
      <c r="W120" s="257"/>
      <c r="X120" s="257"/>
      <c r="Y120" s="257"/>
      <c r="Z120" s="257"/>
      <c r="AA120" s="257"/>
      <c r="AB120" s="257"/>
    </row>
    <row r="121" spans="6:28" ht="14.25" customHeight="1" x14ac:dyDescent="0.25">
      <c r="F121" s="30"/>
      <c r="G121" s="30"/>
      <c r="H121" s="30"/>
    </row>
    <row r="122" spans="6:28" ht="14.25" customHeight="1" x14ac:dyDescent="0.25">
      <c r="F122" s="30"/>
      <c r="G122" s="30"/>
      <c r="H122" s="30"/>
    </row>
    <row r="123" spans="6:28" ht="14.25" customHeight="1" x14ac:dyDescent="0.25">
      <c r="F123" s="30"/>
      <c r="G123" s="30"/>
      <c r="H123" s="30"/>
    </row>
    <row r="124" spans="6:28" ht="14.25" customHeight="1" x14ac:dyDescent="0.25">
      <c r="F124" s="30"/>
      <c r="G124" s="30"/>
      <c r="H124" s="30"/>
    </row>
    <row r="125" spans="6:28" ht="14.25" customHeight="1" x14ac:dyDescent="0.25">
      <c r="F125" s="30"/>
      <c r="G125" s="30"/>
      <c r="H125" s="30"/>
    </row>
    <row r="126" spans="6:28" ht="14.25" customHeight="1" x14ac:dyDescent="0.25">
      <c r="F126" s="30"/>
      <c r="G126" s="30"/>
      <c r="H126" s="30"/>
    </row>
    <row r="127" spans="6:28" ht="14.25" customHeight="1" x14ac:dyDescent="0.25">
      <c r="F127" s="30"/>
      <c r="G127" s="30"/>
      <c r="H127" s="30"/>
    </row>
    <row r="128" spans="6:28" ht="14.25" customHeight="1" x14ac:dyDescent="0.25">
      <c r="F128" s="30"/>
      <c r="G128" s="30"/>
      <c r="H128" s="30"/>
    </row>
    <row r="129" spans="6:8" ht="14.25" customHeight="1" x14ac:dyDescent="0.25">
      <c r="F129" s="30"/>
      <c r="G129" s="30"/>
      <c r="H129" s="30"/>
    </row>
    <row r="130" spans="6:8" ht="14.25" customHeight="1" x14ac:dyDescent="0.25">
      <c r="F130" s="30"/>
      <c r="G130" s="30"/>
      <c r="H130" s="30"/>
    </row>
    <row r="131" spans="6:8" ht="14.25" customHeight="1" x14ac:dyDescent="0.25">
      <c r="F131" s="30"/>
      <c r="G131" s="30"/>
      <c r="H131" s="30"/>
    </row>
    <row r="132" spans="6:8" ht="14.25" customHeight="1" x14ac:dyDescent="0.25">
      <c r="F132" s="30"/>
      <c r="G132" s="30"/>
      <c r="H132" s="30"/>
    </row>
    <row r="133" spans="6:8" ht="14.25" customHeight="1" x14ac:dyDescent="0.25">
      <c r="F133" s="30"/>
      <c r="G133" s="30"/>
      <c r="H133" s="30"/>
    </row>
    <row r="134" spans="6:8" ht="14.25" customHeight="1" x14ac:dyDescent="0.25">
      <c r="F134" s="30"/>
      <c r="G134" s="30"/>
      <c r="H134" s="30"/>
    </row>
    <row r="135" spans="6:8" ht="14.25" customHeight="1" x14ac:dyDescent="0.25">
      <c r="F135" s="30"/>
      <c r="G135" s="30"/>
      <c r="H135" s="30"/>
    </row>
    <row r="136" spans="6:8" ht="14.25" customHeight="1" x14ac:dyDescent="0.25">
      <c r="F136" s="30"/>
      <c r="G136" s="30"/>
      <c r="H136" s="30"/>
    </row>
    <row r="137" spans="6:8" ht="14.25" customHeight="1" x14ac:dyDescent="0.25">
      <c r="F137" s="30"/>
      <c r="G137" s="30"/>
      <c r="H137" s="30"/>
    </row>
    <row r="138" spans="6:8" ht="14.25" customHeight="1" x14ac:dyDescent="0.25">
      <c r="F138" s="30"/>
      <c r="G138" s="30"/>
      <c r="H138" s="30"/>
    </row>
    <row r="139" spans="6:8" ht="14.25" customHeight="1" x14ac:dyDescent="0.25">
      <c r="F139" s="30"/>
      <c r="G139" s="30"/>
      <c r="H139" s="30"/>
    </row>
    <row r="140" spans="6:8" ht="14.25" customHeight="1" x14ac:dyDescent="0.25">
      <c r="F140" s="30"/>
      <c r="G140" s="30"/>
      <c r="H140" s="30"/>
    </row>
    <row r="141" spans="6:8" ht="14.25" customHeight="1" x14ac:dyDescent="0.25">
      <c r="F141" s="30"/>
      <c r="G141" s="30"/>
      <c r="H141" s="30"/>
    </row>
    <row r="142" spans="6:8" ht="14.25" customHeight="1" x14ac:dyDescent="0.25">
      <c r="F142" s="30"/>
      <c r="G142" s="30"/>
      <c r="H142" s="30"/>
    </row>
    <row r="143" spans="6:8" ht="14.25" customHeight="1" x14ac:dyDescent="0.25">
      <c r="F143" s="30"/>
      <c r="G143" s="30"/>
      <c r="H143" s="30"/>
    </row>
    <row r="144" spans="6:8" ht="14.25" customHeight="1" x14ac:dyDescent="0.25">
      <c r="F144" s="30"/>
      <c r="G144" s="30"/>
      <c r="H144" s="30"/>
    </row>
    <row r="145" spans="6:8" ht="14.25" customHeight="1" x14ac:dyDescent="0.25">
      <c r="F145" s="30"/>
      <c r="G145" s="30"/>
      <c r="H145" s="30"/>
    </row>
    <row r="146" spans="6:8" ht="14.25" customHeight="1" x14ac:dyDescent="0.25">
      <c r="F146" s="30"/>
      <c r="G146" s="30"/>
      <c r="H146" s="30"/>
    </row>
    <row r="147" spans="6:8" ht="14.25" customHeight="1" x14ac:dyDescent="0.25">
      <c r="F147" s="30"/>
      <c r="G147" s="30"/>
      <c r="H147" s="30"/>
    </row>
    <row r="148" spans="6:8" ht="14.25" customHeight="1" x14ac:dyDescent="0.25">
      <c r="F148" s="30"/>
      <c r="G148" s="30"/>
      <c r="H148" s="30"/>
    </row>
    <row r="149" spans="6:8" ht="14.25" customHeight="1" x14ac:dyDescent="0.25">
      <c r="F149" s="30"/>
      <c r="G149" s="30"/>
      <c r="H149" s="30"/>
    </row>
    <row r="150" spans="6:8" ht="14.25" customHeight="1" x14ac:dyDescent="0.25">
      <c r="F150" s="30"/>
      <c r="G150" s="30"/>
      <c r="H150" s="30"/>
    </row>
    <row r="151" spans="6:8" ht="14.25" customHeight="1" x14ac:dyDescent="0.25">
      <c r="F151" s="30"/>
      <c r="G151" s="30"/>
      <c r="H151" s="30"/>
    </row>
    <row r="152" spans="6:8" ht="14.25" customHeight="1" x14ac:dyDescent="0.25">
      <c r="F152" s="30"/>
      <c r="G152" s="30"/>
      <c r="H152" s="30"/>
    </row>
    <row r="153" spans="6:8" ht="14.25" customHeight="1" x14ac:dyDescent="0.25">
      <c r="F153" s="30"/>
      <c r="G153" s="30"/>
      <c r="H153" s="30"/>
    </row>
    <row r="154" spans="6:8" ht="14.25" customHeight="1" x14ac:dyDescent="0.25">
      <c r="F154" s="30"/>
      <c r="G154" s="30"/>
      <c r="H154" s="30"/>
    </row>
    <row r="155" spans="6:8" ht="14.25" customHeight="1" x14ac:dyDescent="0.25">
      <c r="F155" s="30"/>
      <c r="G155" s="30"/>
      <c r="H155" s="30"/>
    </row>
    <row r="156" spans="6:8" ht="14.25" customHeight="1" x14ac:dyDescent="0.25">
      <c r="F156" s="30"/>
      <c r="G156" s="30"/>
      <c r="H156" s="30"/>
    </row>
    <row r="157" spans="6:8" ht="14.25" customHeight="1" x14ac:dyDescent="0.25">
      <c r="F157" s="30"/>
      <c r="G157" s="30"/>
      <c r="H157" s="30"/>
    </row>
    <row r="158" spans="6:8" ht="14.25" customHeight="1" x14ac:dyDescent="0.25">
      <c r="F158" s="30"/>
      <c r="G158" s="30"/>
      <c r="H158" s="30"/>
    </row>
    <row r="159" spans="6:8" ht="14.25" customHeight="1" x14ac:dyDescent="0.25">
      <c r="F159" s="30"/>
      <c r="G159" s="30"/>
      <c r="H159" s="30"/>
    </row>
    <row r="160" spans="6:8" ht="14.25" customHeight="1" x14ac:dyDescent="0.25">
      <c r="F160" s="30"/>
      <c r="G160" s="30"/>
      <c r="H160" s="30"/>
    </row>
    <row r="161" spans="6:8" ht="14.25" customHeight="1" x14ac:dyDescent="0.25">
      <c r="F161" s="30"/>
      <c r="G161" s="30"/>
      <c r="H161" s="30"/>
    </row>
    <row r="162" spans="6:8" ht="14.25" customHeight="1" x14ac:dyDescent="0.25">
      <c r="F162" s="30"/>
      <c r="G162" s="30"/>
      <c r="H162" s="30"/>
    </row>
    <row r="163" spans="6:8" ht="14.25" customHeight="1" x14ac:dyDescent="0.25">
      <c r="F163" s="30"/>
      <c r="G163" s="30"/>
      <c r="H163" s="30"/>
    </row>
    <row r="164" spans="6:8" ht="14.25" customHeight="1" x14ac:dyDescent="0.25">
      <c r="F164" s="30"/>
      <c r="G164" s="30"/>
      <c r="H164" s="30"/>
    </row>
    <row r="165" spans="6:8" ht="14.25" customHeight="1" x14ac:dyDescent="0.25">
      <c r="F165" s="30"/>
      <c r="G165" s="30"/>
      <c r="H165" s="30"/>
    </row>
    <row r="166" spans="6:8" ht="14.25" customHeight="1" x14ac:dyDescent="0.25">
      <c r="F166" s="30"/>
      <c r="G166" s="30"/>
      <c r="H166" s="30"/>
    </row>
    <row r="167" spans="6:8" ht="14.25" customHeight="1" x14ac:dyDescent="0.25">
      <c r="F167" s="30"/>
      <c r="G167" s="30"/>
      <c r="H167" s="30"/>
    </row>
    <row r="168" spans="6:8" ht="14.25" customHeight="1" x14ac:dyDescent="0.25">
      <c r="F168" s="30"/>
      <c r="G168" s="30"/>
      <c r="H168" s="30"/>
    </row>
    <row r="169" spans="6:8" ht="14.25" customHeight="1" x14ac:dyDescent="0.25">
      <c r="F169" s="30"/>
      <c r="G169" s="30"/>
      <c r="H169" s="30"/>
    </row>
    <row r="170" spans="6:8" ht="14.25" customHeight="1" x14ac:dyDescent="0.25">
      <c r="F170" s="30"/>
      <c r="G170" s="30"/>
      <c r="H170" s="30"/>
    </row>
  </sheetData>
  <mergeCells count="3">
    <mergeCell ref="L2:L3"/>
    <mergeCell ref="M2:N2"/>
    <mergeCell ref="M7:N7"/>
  </mergeCells>
  <dataValidations disablePrompts="1" count="1">
    <dataValidation type="list" allowBlank="1" showInputMessage="1" showErrorMessage="1" sqref="Z35">
      <formula1>$AG$8:$AG$12</formula1>
    </dataValidation>
  </dataValidations>
  <pageMargins left="0.7" right="0.7" top="0.75" bottom="0.75"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21"/>
  <sheetViews>
    <sheetView zoomScaleNormal="100" workbookViewId="0"/>
  </sheetViews>
  <sheetFormatPr baseColWidth="10" defaultColWidth="16.140625" defaultRowHeight="15" x14ac:dyDescent="0.25"/>
  <cols>
    <col min="1" max="1" width="33.7109375" style="394" customWidth="1"/>
    <col min="2" max="2" width="28.42578125" style="394" customWidth="1"/>
    <col min="3" max="4" width="28.42578125" style="394" hidden="1" customWidth="1"/>
    <col min="5" max="5" width="27" style="394" customWidth="1"/>
    <col min="6" max="6" width="21" style="394" customWidth="1"/>
    <col min="7" max="7" width="21.28515625" style="394" customWidth="1"/>
    <col min="8" max="8" width="38.42578125" style="394" customWidth="1"/>
    <col min="9" max="9" width="19.140625" style="394" customWidth="1"/>
    <col min="10" max="10" width="23.140625" style="318" customWidth="1"/>
    <col min="11" max="11" width="28.42578125" style="394" customWidth="1"/>
    <col min="12" max="12" width="23.7109375" style="394" customWidth="1"/>
    <col min="13" max="13" width="25.7109375" style="394" customWidth="1"/>
    <col min="14" max="14" width="14.42578125" style="394" customWidth="1"/>
    <col min="15" max="234" width="11.42578125" style="394" customWidth="1"/>
    <col min="235" max="16384" width="16.140625" style="394"/>
  </cols>
  <sheetData>
    <row r="1" spans="1:17" ht="15.75" x14ac:dyDescent="0.25">
      <c r="A1" s="605"/>
      <c r="E1" s="2104"/>
      <c r="F1" s="2104"/>
      <c r="G1" s="2104"/>
      <c r="H1" s="2104"/>
      <c r="I1" s="2104"/>
      <c r="J1" s="2104"/>
      <c r="K1" s="2104"/>
      <c r="L1" s="2104"/>
    </row>
    <row r="2" spans="1:17" ht="50.25" customHeight="1" x14ac:dyDescent="0.25">
      <c r="A2" s="2105"/>
      <c r="B2" s="2108" t="s">
        <v>1692</v>
      </c>
      <c r="C2" s="2109"/>
      <c r="D2" s="2109"/>
      <c r="E2" s="2109"/>
      <c r="F2" s="2109"/>
      <c r="G2" s="2109"/>
      <c r="H2" s="2110"/>
      <c r="I2" s="2114" t="s">
        <v>1698</v>
      </c>
      <c r="J2" s="2115"/>
    </row>
    <row r="3" spans="1:17" ht="43.5" customHeight="1" x14ac:dyDescent="0.25">
      <c r="A3" s="2105"/>
      <c r="B3" s="2111"/>
      <c r="C3" s="2112"/>
      <c r="D3" s="2112"/>
      <c r="E3" s="2112"/>
      <c r="F3" s="2112"/>
      <c r="G3" s="2112"/>
      <c r="H3" s="2113"/>
      <c r="I3" s="2114" t="s">
        <v>1936</v>
      </c>
      <c r="J3" s="2115"/>
    </row>
    <row r="4" spans="1:17" x14ac:dyDescent="0.25">
      <c r="A4" s="605"/>
      <c r="B4" s="605"/>
      <c r="C4" s="605"/>
      <c r="D4" s="605"/>
      <c r="E4" s="605"/>
      <c r="F4" s="605"/>
      <c r="G4" s="605"/>
      <c r="H4" s="606"/>
      <c r="I4" s="606"/>
      <c r="J4" s="605"/>
      <c r="L4" s="606"/>
    </row>
    <row r="5" spans="1:17" ht="37.15" customHeight="1" x14ac:dyDescent="0.25">
      <c r="A5" s="607" t="s">
        <v>1</v>
      </c>
      <c r="B5" s="2106" t="str">
        <f>+FENECIMIENTO!D5</f>
        <v xml:space="preserve">206 - Fondo de Prestaciones Económicas, Cesantías y Pensiones – FONCEP </v>
      </c>
      <c r="C5" s="2107"/>
      <c r="D5" s="2107"/>
      <c r="E5" s="2107"/>
      <c r="F5" s="2107"/>
      <c r="G5" s="1228"/>
      <c r="H5" s="1228"/>
      <c r="I5" s="1228"/>
      <c r="J5" s="1228"/>
      <c r="L5" s="606"/>
    </row>
    <row r="6" spans="1:17" ht="33.75" customHeight="1" x14ac:dyDescent="0.25">
      <c r="A6" s="607" t="s">
        <v>1007</v>
      </c>
      <c r="B6" s="2100" t="s">
        <v>1758</v>
      </c>
      <c r="C6" s="2100"/>
      <c r="D6" s="2100"/>
      <c r="E6" s="2100"/>
      <c r="F6" s="2100"/>
      <c r="G6" s="608" t="s">
        <v>758</v>
      </c>
      <c r="H6" s="1756">
        <f>+FENECIMIENTO!K5</f>
        <v>2024</v>
      </c>
      <c r="I6" s="1756"/>
      <c r="J6" s="1756"/>
      <c r="L6" s="606"/>
    </row>
    <row r="7" spans="1:17" ht="39" customHeight="1" x14ac:dyDescent="0.25">
      <c r="A7" s="607" t="s">
        <v>1008</v>
      </c>
      <c r="B7" s="2101">
        <f>+FENECIMIENTO!D7</f>
        <v>45693</v>
      </c>
      <c r="C7" s="2100"/>
      <c r="D7" s="2100"/>
      <c r="E7" s="2100"/>
      <c r="F7" s="2100"/>
      <c r="G7" s="608" t="s">
        <v>122</v>
      </c>
      <c r="H7" s="2101">
        <f>+FENECIMIENTO!K7</f>
        <v>45693</v>
      </c>
      <c r="I7" s="2100"/>
      <c r="J7" s="2100"/>
      <c r="L7" s="606"/>
    </row>
    <row r="8" spans="1:17" ht="15.75" customHeight="1" x14ac:dyDescent="0.25">
      <c r="A8" s="2102"/>
      <c r="B8" s="2102"/>
      <c r="C8" s="2102"/>
      <c r="D8" s="2102"/>
      <c r="E8" s="2102"/>
      <c r="F8" s="2102"/>
      <c r="G8" s="2102"/>
      <c r="H8" s="2102"/>
      <c r="I8" s="2102"/>
      <c r="J8" s="2102"/>
      <c r="K8" s="609"/>
    </row>
    <row r="9" spans="1:17" ht="18" x14ac:dyDescent="0.25">
      <c r="A9" s="2103" t="s">
        <v>1009</v>
      </c>
      <c r="B9" s="2103"/>
      <c r="C9" s="2103"/>
      <c r="D9" s="2103"/>
      <c r="E9" s="2103"/>
      <c r="F9" s="2103"/>
      <c r="G9" s="2103"/>
      <c r="H9" s="2103"/>
      <c r="I9" s="2103"/>
      <c r="J9" s="2103"/>
      <c r="K9" s="610"/>
    </row>
    <row r="10" spans="1:17" ht="32.25" customHeight="1" x14ac:dyDescent="0.25">
      <c r="A10" s="2148" t="s">
        <v>1010</v>
      </c>
      <c r="B10" s="2150" t="s">
        <v>1011</v>
      </c>
      <c r="C10" s="2150" t="s">
        <v>1012</v>
      </c>
      <c r="D10" s="2150" t="s">
        <v>1013</v>
      </c>
      <c r="E10" s="2152" t="s">
        <v>1014</v>
      </c>
      <c r="F10" s="2152" t="s">
        <v>1015</v>
      </c>
      <c r="G10" s="2143" t="s">
        <v>1016</v>
      </c>
      <c r="H10" s="2144"/>
      <c r="I10" s="2143" t="s">
        <v>1017</v>
      </c>
      <c r="J10" s="2145"/>
      <c r="K10" s="611"/>
    </row>
    <row r="11" spans="1:17" ht="23.25" customHeight="1" x14ac:dyDescent="0.25">
      <c r="A11" s="2149"/>
      <c r="B11" s="2151"/>
      <c r="C11" s="2151"/>
      <c r="D11" s="2151"/>
      <c r="E11" s="2152"/>
      <c r="F11" s="2152"/>
      <c r="G11" s="2146" t="s">
        <v>193</v>
      </c>
      <c r="H11" s="2146" t="s">
        <v>195</v>
      </c>
      <c r="I11" s="2147" t="s">
        <v>1018</v>
      </c>
      <c r="J11" s="2147" t="s">
        <v>1019</v>
      </c>
      <c r="K11" s="611"/>
      <c r="L11" s="612"/>
      <c r="M11" s="613"/>
      <c r="N11" s="614"/>
      <c r="O11" s="614"/>
      <c r="P11" s="614"/>
      <c r="Q11" s="614"/>
    </row>
    <row r="12" spans="1:17" ht="25.5" customHeight="1" x14ac:dyDescent="0.25">
      <c r="A12" s="2149"/>
      <c r="B12" s="2151"/>
      <c r="C12" s="2151"/>
      <c r="D12" s="2151"/>
      <c r="E12" s="2150"/>
      <c r="F12" s="2150"/>
      <c r="G12" s="2146"/>
      <c r="H12" s="2146"/>
      <c r="I12" s="2147"/>
      <c r="J12" s="2147"/>
      <c r="K12" s="611"/>
      <c r="L12" s="612"/>
      <c r="M12" s="615"/>
      <c r="N12" s="615"/>
      <c r="O12" s="616"/>
      <c r="P12" s="616"/>
      <c r="Q12" s="616"/>
    </row>
    <row r="13" spans="1:17" ht="44.25" customHeight="1" x14ac:dyDescent="0.25">
      <c r="A13" s="617" t="s">
        <v>1020</v>
      </c>
      <c r="B13" s="618">
        <v>0.35</v>
      </c>
      <c r="C13" s="618">
        <f>IF(ISNUMBER(G13),$B13,0)</f>
        <v>0.35</v>
      </c>
      <c r="D13" s="618">
        <f>IF(ISNUMBER(H13),$B13,0)</f>
        <v>0.35</v>
      </c>
      <c r="E13" s="618">
        <f>IFERROR(C13/C$17,"")</f>
        <v>1</v>
      </c>
      <c r="F13" s="619">
        <f>IFERROR(D13/$D$17,"")</f>
        <v>1</v>
      </c>
      <c r="G13" s="620">
        <f>IFERROR(AVERAGEIF($I$34:$I$63,"EFICACIA",$M$34:$M$63),"")</f>
        <v>0.79285714285714282</v>
      </c>
      <c r="H13" s="621">
        <f>IFERROR(AVERAGEIF($I$34:$I$63,"EFICIENCIA",$M34:$M63),"")</f>
        <v>0.78333333333333321</v>
      </c>
      <c r="I13" s="622">
        <f>IFERROR(G13*$E13,"")</f>
        <v>0.79285714285714282</v>
      </c>
      <c r="J13" s="622">
        <f>IFERROR(H13*$F13,"")</f>
        <v>0.78333333333333321</v>
      </c>
      <c r="K13" s="623"/>
      <c r="L13" s="612"/>
      <c r="M13" s="615"/>
      <c r="N13" s="615"/>
      <c r="O13" s="616"/>
      <c r="P13" s="616"/>
      <c r="Q13" s="616"/>
    </row>
    <row r="14" spans="1:17" ht="56.25" customHeight="1" x14ac:dyDescent="0.25">
      <c r="A14" s="617" t="s">
        <v>1021</v>
      </c>
      <c r="B14" s="618">
        <v>0.15</v>
      </c>
      <c r="C14" s="618">
        <f t="shared" ref="C14:D16" si="0">IF(ISNUMBER(G14),$B14,0)</f>
        <v>0</v>
      </c>
      <c r="D14" s="618">
        <f t="shared" si="0"/>
        <v>0</v>
      </c>
      <c r="E14" s="618">
        <f>IFERROR(C14/C$17,"")</f>
        <v>0</v>
      </c>
      <c r="F14" s="619">
        <f>IFERROR(D14/$D$17,"")</f>
        <v>0</v>
      </c>
      <c r="G14" s="620" t="str">
        <f>IFERROR(AVERAGEIF($I$65:$I$74,"EFICACIA",$M$65:$M$74),"")</f>
        <v/>
      </c>
      <c r="H14" s="621" t="str">
        <f>IFERROR(AVERAGEIF($I$65:$I$74,"EFICIENCIA",$M$65:$M$74),"")</f>
        <v/>
      </c>
      <c r="I14" s="622" t="str">
        <f>IFERROR(G14*$E14,"")</f>
        <v/>
      </c>
      <c r="J14" s="622" t="str">
        <f>IFERROR(H14*$F14,"")</f>
        <v/>
      </c>
      <c r="K14" s="623"/>
      <c r="L14" s="612"/>
      <c r="M14" s="615"/>
      <c r="N14" s="615"/>
      <c r="O14" s="616"/>
      <c r="P14" s="616"/>
      <c r="Q14" s="616"/>
    </row>
    <row r="15" spans="1:17" ht="40.5" customHeight="1" x14ac:dyDescent="0.25">
      <c r="A15" s="617" t="s">
        <v>1022</v>
      </c>
      <c r="B15" s="618">
        <v>0.15</v>
      </c>
      <c r="C15" s="618">
        <f t="shared" si="0"/>
        <v>0</v>
      </c>
      <c r="D15" s="618">
        <f t="shared" si="0"/>
        <v>0</v>
      </c>
      <c r="E15" s="618">
        <f>IFERROR(C15/C$17,"")</f>
        <v>0</v>
      </c>
      <c r="F15" s="619">
        <f>IFERROR(D15/$D$17,"")</f>
        <v>0</v>
      </c>
      <c r="G15" s="620" t="str">
        <f>IFERROR(AVERAGEIF($I$75:$I$81,"EFICACIA",$M$75:$M$81),"")</f>
        <v/>
      </c>
      <c r="H15" s="621" t="str">
        <f>IFERROR(AVERAGEIF($I$75:$I$81,"EFICIENCIA",$M75:$M81),"")</f>
        <v/>
      </c>
      <c r="I15" s="622" t="str">
        <f>IFERROR(G15*$E15,"")</f>
        <v/>
      </c>
      <c r="J15" s="622" t="str">
        <f>IFERROR(H15*$F15,"")</f>
        <v/>
      </c>
      <c r="K15" s="623"/>
      <c r="L15" s="612"/>
      <c r="M15" s="615"/>
      <c r="N15" s="615"/>
      <c r="O15" s="616"/>
      <c r="P15" s="616"/>
      <c r="Q15" s="616"/>
    </row>
    <row r="16" spans="1:17" ht="40.5" customHeight="1" x14ac:dyDescent="0.25">
      <c r="A16" s="617" t="s">
        <v>1023</v>
      </c>
      <c r="B16" s="618">
        <v>0.35</v>
      </c>
      <c r="C16" s="618">
        <f t="shared" si="0"/>
        <v>0</v>
      </c>
      <c r="D16" s="618">
        <f t="shared" si="0"/>
        <v>0</v>
      </c>
      <c r="E16" s="618">
        <f>IFERROR(C16/C$17,"")</f>
        <v>0</v>
      </c>
      <c r="F16" s="619">
        <f>IFERROR(D16/$D$17,"")</f>
        <v>0</v>
      </c>
      <c r="G16" s="620" t="str">
        <f>IFERROR(AVERAGEIF($I$82:$I$87,"EFICACIA",$M$82:$M$87),"")</f>
        <v/>
      </c>
      <c r="H16" s="621" t="str">
        <f>IFERROR(AVERAGEIF($I$82:$I$87,"EFICIENCIA",$M$82:$M$87),"")</f>
        <v/>
      </c>
      <c r="I16" s="622" t="str">
        <f>IFERROR(G16*$E16,"")</f>
        <v/>
      </c>
      <c r="J16" s="622" t="str">
        <f>IFERROR(H16*$F16,"")</f>
        <v/>
      </c>
      <c r="K16" s="623"/>
      <c r="L16" s="612"/>
      <c r="M16" s="615"/>
      <c r="N16" s="615"/>
      <c r="O16" s="616"/>
      <c r="P16" s="616"/>
      <c r="Q16" s="616"/>
    </row>
    <row r="17" spans="1:17" ht="23.25" x14ac:dyDescent="0.25">
      <c r="A17" s="624" t="s">
        <v>1024</v>
      </c>
      <c r="B17" s="625">
        <f>SUM(B13:B16)</f>
        <v>1</v>
      </c>
      <c r="C17" s="625">
        <f>SUM(C13:C16)</f>
        <v>0.35</v>
      </c>
      <c r="D17" s="625">
        <f>SUM(D13:D16)</f>
        <v>0.35</v>
      </c>
      <c r="E17" s="625">
        <f>SUM(E13:E16)</f>
        <v>1</v>
      </c>
      <c r="F17" s="626">
        <f>SUM(F13:F16)</f>
        <v>1</v>
      </c>
      <c r="G17" s="2141" t="s">
        <v>200</v>
      </c>
      <c r="H17" s="2142"/>
      <c r="I17" s="627">
        <f>IF(COUNT(I13:I16)&gt;0,SUM(I13:I16),"")</f>
        <v>0.79285714285714282</v>
      </c>
      <c r="J17" s="627">
        <f>IF(COUNT(J13:J16)&gt;0,SUM(J13:J16),"")</f>
        <v>0.78333333333333321</v>
      </c>
      <c r="K17" s="628"/>
      <c r="L17" s="612"/>
      <c r="M17" s="629"/>
      <c r="N17" s="630"/>
      <c r="O17" s="630"/>
      <c r="Q17" s="616"/>
    </row>
    <row r="18" spans="1:17" ht="34.5" customHeight="1" thickBot="1" x14ac:dyDescent="0.3">
      <c r="A18" s="631"/>
      <c r="B18" s="610"/>
      <c r="C18" s="610"/>
      <c r="D18" s="610"/>
      <c r="E18" s="610"/>
      <c r="F18" s="610"/>
      <c r="G18" s="2116" t="str">
        <f>IF(ISNUMBER(I18),IF(I18&gt;=75%,"EFECTIVO","INEFECTIVO"),"")</f>
        <v>EFECTIVO</v>
      </c>
      <c r="H18" s="2117"/>
      <c r="I18" s="2118">
        <f>IFERROR(AVERAGE(I17:J17),"")</f>
        <v>0.78809523809523796</v>
      </c>
      <c r="J18" s="2119"/>
      <c r="K18" s="610"/>
      <c r="L18" s="612"/>
      <c r="M18" s="612"/>
      <c r="N18" s="632"/>
    </row>
    <row r="19" spans="1:17" ht="21" customHeight="1" x14ac:dyDescent="0.25">
      <c r="A19" s="633"/>
      <c r="E19" s="610"/>
      <c r="F19" s="610"/>
      <c r="G19" s="634" t="s">
        <v>288</v>
      </c>
      <c r="H19" s="635" t="s">
        <v>1025</v>
      </c>
      <c r="I19" s="610"/>
      <c r="J19" s="636"/>
      <c r="K19" s="610"/>
    </row>
    <row r="20" spans="1:17" ht="21.75" customHeight="1" thickBot="1" x14ac:dyDescent="0.3">
      <c r="A20" s="637"/>
      <c r="B20" s="638"/>
      <c r="C20" s="638"/>
      <c r="D20" s="638"/>
      <c r="E20" s="639"/>
      <c r="F20" s="639"/>
      <c r="G20" s="640" t="s">
        <v>287</v>
      </c>
      <c r="H20" s="641" t="s">
        <v>1026</v>
      </c>
      <c r="I20" s="638"/>
      <c r="J20" s="642"/>
    </row>
    <row r="21" spans="1:17" ht="15" customHeight="1" x14ac:dyDescent="0.25">
      <c r="E21" s="610"/>
      <c r="F21" s="610"/>
      <c r="G21" s="643"/>
      <c r="H21" s="644"/>
    </row>
    <row r="22" spans="1:17" ht="111" customHeight="1" x14ac:dyDescent="0.25">
      <c r="A22" s="2120" t="s">
        <v>1027</v>
      </c>
      <c r="B22" s="2121"/>
      <c r="C22" s="2121"/>
      <c r="D22" s="2121"/>
      <c r="E22" s="2121"/>
      <c r="F22" s="2121"/>
      <c r="G22" s="2121"/>
      <c r="H22" s="2121"/>
      <c r="I22" s="2121"/>
      <c r="J22" s="2122"/>
    </row>
    <row r="23" spans="1:17" ht="15" customHeight="1" thickBot="1" x14ac:dyDescent="0.3">
      <c r="A23" s="2123"/>
      <c r="B23" s="2123"/>
      <c r="C23" s="2123"/>
      <c r="D23" s="2123"/>
      <c r="E23" s="2123"/>
      <c r="F23" s="2123"/>
      <c r="G23" s="2123"/>
      <c r="H23" s="2123"/>
    </row>
    <row r="24" spans="1:17" ht="15.75" thickBot="1" x14ac:dyDescent="0.3">
      <c r="E24" s="645" t="s">
        <v>179</v>
      </c>
      <c r="F24" s="646" t="s">
        <v>211</v>
      </c>
    </row>
    <row r="25" spans="1:17" ht="27.75" customHeight="1" x14ac:dyDescent="0.25">
      <c r="E25" s="634" t="s">
        <v>288</v>
      </c>
      <c r="F25" s="635" t="s">
        <v>1025</v>
      </c>
    </row>
    <row r="26" spans="1:17" ht="16.5" thickBot="1" x14ac:dyDescent="0.3">
      <c r="E26" s="640" t="s">
        <v>287</v>
      </c>
      <c r="F26" s="641" t="s">
        <v>1026</v>
      </c>
    </row>
    <row r="27" spans="1:17" s="647" customFormat="1" ht="15.75" x14ac:dyDescent="0.25">
      <c r="E27" s="648"/>
      <c r="F27" s="649"/>
      <c r="J27" s="331"/>
    </row>
    <row r="28" spans="1:17" ht="21" x14ac:dyDescent="0.25">
      <c r="A28" s="2124" t="s">
        <v>1028</v>
      </c>
      <c r="B28" s="2125"/>
      <c r="C28" s="2125"/>
      <c r="D28" s="2125"/>
      <c r="E28" s="2125"/>
      <c r="F28" s="2125"/>
      <c r="G28" s="2125"/>
      <c r="H28" s="2125"/>
      <c r="I28" s="2125"/>
      <c r="J28" s="2125"/>
      <c r="K28" s="2125"/>
      <c r="L28" s="2125"/>
      <c r="M28" s="2126"/>
    </row>
    <row r="29" spans="1:17" ht="15.75" thickBot="1" x14ac:dyDescent="0.3">
      <c r="A29" s="650"/>
      <c r="B29" s="651"/>
      <c r="C29" s="651"/>
      <c r="D29" s="651"/>
      <c r="E29" s="651"/>
      <c r="F29" s="651"/>
      <c r="G29" s="651"/>
      <c r="H29" s="651"/>
      <c r="I29" s="651"/>
      <c r="J29" s="652"/>
      <c r="K29" s="651"/>
      <c r="L29" s="651"/>
      <c r="M29" s="610"/>
    </row>
    <row r="30" spans="1:17" ht="15.75" thickBot="1" x14ac:dyDescent="0.3">
      <c r="A30" s="2127" t="s">
        <v>1010</v>
      </c>
      <c r="B30" s="2130" t="s">
        <v>1029</v>
      </c>
      <c r="C30" s="2130"/>
      <c r="D30" s="2130"/>
      <c r="E30" s="2131"/>
      <c r="F30" s="2131"/>
      <c r="G30" s="2131"/>
      <c r="H30" s="2131"/>
      <c r="I30" s="2131"/>
      <c r="J30" s="2131"/>
      <c r="K30" s="2131"/>
      <c r="L30" s="2132"/>
      <c r="M30" s="2133" t="s">
        <v>178</v>
      </c>
    </row>
    <row r="31" spans="1:17" ht="38.25" customHeight="1" x14ac:dyDescent="0.25">
      <c r="A31" s="2128"/>
      <c r="B31" s="2136" t="s">
        <v>1030</v>
      </c>
      <c r="C31" s="2136"/>
      <c r="D31" s="2136"/>
      <c r="E31" s="2137"/>
      <c r="F31" s="2137"/>
      <c r="G31" s="2137"/>
      <c r="H31" s="2137"/>
      <c r="I31" s="2137" t="s">
        <v>209</v>
      </c>
      <c r="J31" s="2137" t="s">
        <v>1031</v>
      </c>
      <c r="K31" s="2137" t="s">
        <v>1032</v>
      </c>
      <c r="L31" s="2139" t="s">
        <v>1033</v>
      </c>
      <c r="M31" s="2134"/>
    </row>
    <row r="32" spans="1:17" ht="76.5" customHeight="1" thickBot="1" x14ac:dyDescent="0.3">
      <c r="A32" s="2129"/>
      <c r="B32" s="653" t="s">
        <v>465</v>
      </c>
      <c r="C32" s="653"/>
      <c r="D32" s="653"/>
      <c r="E32" s="654" t="s">
        <v>1034</v>
      </c>
      <c r="F32" s="654" t="s">
        <v>1035</v>
      </c>
      <c r="G32" s="654" t="s">
        <v>1036</v>
      </c>
      <c r="H32" s="654" t="s">
        <v>1037</v>
      </c>
      <c r="I32" s="2138"/>
      <c r="J32" s="2138"/>
      <c r="K32" s="2138"/>
      <c r="L32" s="2140"/>
      <c r="M32" s="2135"/>
    </row>
    <row r="33" spans="1:13" ht="36" customHeight="1" x14ac:dyDescent="0.25">
      <c r="A33" s="2153" t="s">
        <v>1038</v>
      </c>
      <c r="B33" s="2156" t="s">
        <v>1039</v>
      </c>
      <c r="C33" s="2157"/>
      <c r="D33" s="2157"/>
      <c r="E33" s="2157"/>
      <c r="F33" s="2157"/>
      <c r="G33" s="2157"/>
      <c r="H33" s="2157"/>
      <c r="I33" s="2157"/>
      <c r="J33" s="2157"/>
      <c r="K33" s="2157"/>
      <c r="L33" s="2157"/>
      <c r="M33" s="2158"/>
    </row>
    <row r="34" spans="1:13" ht="71.25" customHeight="1" x14ac:dyDescent="0.25">
      <c r="A34" s="2154"/>
      <c r="B34" s="655" t="s">
        <v>1040</v>
      </c>
      <c r="C34" s="655"/>
      <c r="D34" s="655"/>
      <c r="E34" s="656" t="s">
        <v>1041</v>
      </c>
      <c r="F34" s="657">
        <f>23462378626/28180338979</f>
        <v>0.8325797160738263</v>
      </c>
      <c r="G34" s="658" t="s">
        <v>1042</v>
      </c>
      <c r="H34" s="659" t="s">
        <v>1043</v>
      </c>
      <c r="I34" s="660" t="s">
        <v>193</v>
      </c>
      <c r="J34" s="2159" t="s">
        <v>1044</v>
      </c>
      <c r="K34" s="661" t="s">
        <v>1045</v>
      </c>
      <c r="L34" s="2160" t="s">
        <v>1046</v>
      </c>
      <c r="M34" s="662">
        <v>0.85</v>
      </c>
    </row>
    <row r="35" spans="1:13" ht="63.75" customHeight="1" x14ac:dyDescent="0.25">
      <c r="A35" s="2154"/>
      <c r="B35" s="655" t="s">
        <v>1047</v>
      </c>
      <c r="C35" s="655"/>
      <c r="D35" s="655"/>
      <c r="E35" s="656" t="s">
        <v>1048</v>
      </c>
      <c r="F35" s="663">
        <f>23462378626-28180338979</f>
        <v>-4717960353</v>
      </c>
      <c r="G35" s="658" t="s">
        <v>1049</v>
      </c>
      <c r="H35" s="659" t="s">
        <v>1050</v>
      </c>
      <c r="I35" s="2163" t="s">
        <v>193</v>
      </c>
      <c r="J35" s="2159"/>
      <c r="K35" s="2164" t="s">
        <v>1051</v>
      </c>
      <c r="L35" s="2161"/>
      <c r="M35" s="2165">
        <v>0.7</v>
      </c>
    </row>
    <row r="36" spans="1:13" ht="97.5" customHeight="1" x14ac:dyDescent="0.25">
      <c r="A36" s="2154"/>
      <c r="B36" s="664" t="s">
        <v>1052</v>
      </c>
      <c r="C36" s="664"/>
      <c r="D36" s="664"/>
      <c r="E36" s="661" t="s">
        <v>1053</v>
      </c>
      <c r="F36" s="665"/>
      <c r="G36" s="658" t="s">
        <v>1054</v>
      </c>
      <c r="H36" s="659" t="s">
        <v>1055</v>
      </c>
      <c r="I36" s="2163"/>
      <c r="J36" s="2159"/>
      <c r="K36" s="2164"/>
      <c r="L36" s="2161"/>
      <c r="M36" s="2165"/>
    </row>
    <row r="37" spans="1:13" ht="86.25" customHeight="1" x14ac:dyDescent="0.25">
      <c r="A37" s="2154"/>
      <c r="B37" s="664" t="s">
        <v>1056</v>
      </c>
      <c r="C37" s="664"/>
      <c r="D37" s="664"/>
      <c r="E37" s="656" t="s">
        <v>1057</v>
      </c>
      <c r="F37" s="657">
        <f>68837292084/298129722718*100</f>
        <v>23.089711235908197</v>
      </c>
      <c r="G37" s="658" t="s">
        <v>1042</v>
      </c>
      <c r="H37" s="659" t="s">
        <v>1058</v>
      </c>
      <c r="I37" s="660" t="s">
        <v>193</v>
      </c>
      <c r="J37" s="2166" t="s">
        <v>1059</v>
      </c>
      <c r="K37" s="656" t="s">
        <v>1060</v>
      </c>
      <c r="L37" s="2161"/>
      <c r="M37" s="662">
        <v>0.85</v>
      </c>
    </row>
    <row r="38" spans="1:13" ht="72" customHeight="1" x14ac:dyDescent="0.25">
      <c r="A38" s="2154"/>
      <c r="B38" s="664" t="s">
        <v>1061</v>
      </c>
      <c r="C38" s="664"/>
      <c r="D38" s="664"/>
      <c r="E38" s="656" t="s">
        <v>1062</v>
      </c>
      <c r="F38" s="657">
        <f>28180338979/68837292084*100</f>
        <v>40.937605367469146</v>
      </c>
      <c r="G38" s="658" t="s">
        <v>1042</v>
      </c>
      <c r="H38" s="659" t="s">
        <v>1063</v>
      </c>
      <c r="I38" s="660" t="s">
        <v>193</v>
      </c>
      <c r="J38" s="2166"/>
      <c r="K38" s="656" t="s">
        <v>1064</v>
      </c>
      <c r="L38" s="2161"/>
      <c r="M38" s="662">
        <v>0.8</v>
      </c>
    </row>
    <row r="39" spans="1:13" s="612" customFormat="1" ht="93.75" customHeight="1" x14ac:dyDescent="0.25">
      <c r="A39" s="2154"/>
      <c r="B39" s="664" t="s">
        <v>1065</v>
      </c>
      <c r="C39" s="664"/>
      <c r="D39" s="664"/>
      <c r="E39" s="661" t="s">
        <v>1066</v>
      </c>
      <c r="F39" s="666">
        <f>68837292084/229292430634*100</f>
        <v>30.021615582190375</v>
      </c>
      <c r="G39" s="658" t="s">
        <v>1042</v>
      </c>
      <c r="H39" s="659" t="s">
        <v>1067</v>
      </c>
      <c r="I39" s="667" t="s">
        <v>193</v>
      </c>
      <c r="J39" s="2166"/>
      <c r="K39" s="661" t="s">
        <v>1068</v>
      </c>
      <c r="L39" s="2161"/>
      <c r="M39" s="668">
        <v>0.8</v>
      </c>
    </row>
    <row r="40" spans="1:13" ht="51" customHeight="1" x14ac:dyDescent="0.25">
      <c r="A40" s="2154"/>
      <c r="B40" s="655" t="s">
        <v>1069</v>
      </c>
      <c r="C40" s="655"/>
      <c r="D40" s="655"/>
      <c r="E40" s="656" t="s">
        <v>1070</v>
      </c>
      <c r="F40" s="669"/>
      <c r="G40" s="658" t="s">
        <v>1042</v>
      </c>
      <c r="H40" s="659" t="s">
        <v>1071</v>
      </c>
      <c r="I40" s="2163" t="s">
        <v>193</v>
      </c>
      <c r="J40" s="2166"/>
      <c r="K40" s="2167" t="s">
        <v>1072</v>
      </c>
      <c r="L40" s="2161"/>
      <c r="M40" s="2165">
        <v>0.75</v>
      </c>
    </row>
    <row r="41" spans="1:13" s="612" customFormat="1" ht="60" customHeight="1" x14ac:dyDescent="0.25">
      <c r="A41" s="2154"/>
      <c r="B41" s="664" t="s">
        <v>1073</v>
      </c>
      <c r="C41" s="664"/>
      <c r="D41" s="664"/>
      <c r="E41" s="661" t="s">
        <v>1074</v>
      </c>
      <c r="F41" s="666">
        <f>298129722718/68837292084*100</f>
        <v>433.09333312269399</v>
      </c>
      <c r="G41" s="658" t="s">
        <v>1042</v>
      </c>
      <c r="H41" s="659" t="s">
        <v>1075</v>
      </c>
      <c r="I41" s="2163"/>
      <c r="J41" s="2166"/>
      <c r="K41" s="2167"/>
      <c r="L41" s="2161"/>
      <c r="M41" s="2165"/>
    </row>
    <row r="42" spans="1:13" ht="72.75" customHeight="1" x14ac:dyDescent="0.25">
      <c r="A42" s="2154"/>
      <c r="B42" s="664" t="s">
        <v>1076</v>
      </c>
      <c r="C42" s="664"/>
      <c r="D42" s="664"/>
      <c r="E42" s="670" t="s">
        <v>1077</v>
      </c>
      <c r="F42" s="669"/>
      <c r="G42" s="658" t="s">
        <v>1049</v>
      </c>
      <c r="H42" s="659" t="s">
        <v>1078</v>
      </c>
      <c r="I42" s="2168" t="s">
        <v>195</v>
      </c>
      <c r="J42" s="2171" t="s">
        <v>1079</v>
      </c>
      <c r="K42" s="2160" t="s">
        <v>1080</v>
      </c>
      <c r="L42" s="2161"/>
      <c r="M42" s="2175">
        <v>0.75</v>
      </c>
    </row>
    <row r="43" spans="1:13" ht="88.5" customHeight="1" x14ac:dyDescent="0.25">
      <c r="A43" s="2154"/>
      <c r="B43" s="664" t="s">
        <v>1081</v>
      </c>
      <c r="C43" s="664"/>
      <c r="D43" s="664"/>
      <c r="E43" s="661" t="s">
        <v>1082</v>
      </c>
      <c r="F43" s="671"/>
      <c r="G43" s="670" t="s">
        <v>1042</v>
      </c>
      <c r="H43" s="659" t="s">
        <v>1083</v>
      </c>
      <c r="I43" s="2169"/>
      <c r="J43" s="2172"/>
      <c r="K43" s="2161"/>
      <c r="L43" s="2161"/>
      <c r="M43" s="2176"/>
    </row>
    <row r="44" spans="1:13" s="612" customFormat="1" ht="88.5" customHeight="1" x14ac:dyDescent="0.25">
      <c r="A44" s="2154"/>
      <c r="B44" s="664" t="s">
        <v>1084</v>
      </c>
      <c r="C44" s="664"/>
      <c r="D44" s="664"/>
      <c r="E44" s="661" t="s">
        <v>1085</v>
      </c>
      <c r="F44" s="672"/>
      <c r="G44" s="658" t="s">
        <v>1042</v>
      </c>
      <c r="H44" s="659" t="s">
        <v>1086</v>
      </c>
      <c r="I44" s="2170"/>
      <c r="J44" s="2172"/>
      <c r="K44" s="2174"/>
      <c r="L44" s="2161"/>
      <c r="M44" s="2177"/>
    </row>
    <row r="45" spans="1:13" ht="63" customHeight="1" x14ac:dyDescent="0.25">
      <c r="A45" s="2154"/>
      <c r="B45" s="664" t="s">
        <v>1087</v>
      </c>
      <c r="C45" s="664"/>
      <c r="D45" s="664"/>
      <c r="E45" s="670" t="s">
        <v>1088</v>
      </c>
      <c r="F45" s="673"/>
      <c r="G45" s="670" t="s">
        <v>1042</v>
      </c>
      <c r="H45" s="659" t="s">
        <v>1089</v>
      </c>
      <c r="I45" s="2163" t="s">
        <v>195</v>
      </c>
      <c r="J45" s="2172"/>
      <c r="K45" s="2167" t="s">
        <v>1090</v>
      </c>
      <c r="L45" s="2161"/>
      <c r="M45" s="2165">
        <v>0.8</v>
      </c>
    </row>
    <row r="46" spans="1:13" ht="63" customHeight="1" x14ac:dyDescent="0.25">
      <c r="A46" s="2154"/>
      <c r="B46" s="664" t="s">
        <v>1091</v>
      </c>
      <c r="C46" s="664"/>
      <c r="D46" s="664"/>
      <c r="E46" s="661" t="s">
        <v>1092</v>
      </c>
      <c r="F46" s="671"/>
      <c r="G46" s="670" t="s">
        <v>1049</v>
      </c>
      <c r="H46" s="659" t="s">
        <v>1093</v>
      </c>
      <c r="I46" s="2163"/>
      <c r="J46" s="2172"/>
      <c r="K46" s="2167"/>
      <c r="L46" s="2161"/>
      <c r="M46" s="2165"/>
    </row>
    <row r="47" spans="1:13" ht="69.75" customHeight="1" x14ac:dyDescent="0.25">
      <c r="A47" s="2154"/>
      <c r="B47" s="664" t="s">
        <v>1094</v>
      </c>
      <c r="C47" s="664"/>
      <c r="D47" s="664"/>
      <c r="E47" s="661" t="s">
        <v>1095</v>
      </c>
      <c r="F47" s="671"/>
      <c r="G47" s="670" t="s">
        <v>1042</v>
      </c>
      <c r="H47" s="659" t="s">
        <v>1096</v>
      </c>
      <c r="I47" s="2163"/>
      <c r="J47" s="2172"/>
      <c r="K47" s="2167"/>
      <c r="L47" s="2161"/>
      <c r="M47" s="2165"/>
    </row>
    <row r="48" spans="1:13" ht="83.25" customHeight="1" x14ac:dyDescent="0.25">
      <c r="A48" s="2154"/>
      <c r="B48" s="667" t="s">
        <v>1097</v>
      </c>
      <c r="C48" s="667"/>
      <c r="D48" s="667"/>
      <c r="E48" s="670" t="s">
        <v>1098</v>
      </c>
      <c r="F48" s="674"/>
      <c r="G48" s="660" t="s">
        <v>1042</v>
      </c>
      <c r="H48" s="659" t="s">
        <v>1099</v>
      </c>
      <c r="I48" s="660" t="s">
        <v>195</v>
      </c>
      <c r="J48" s="2173"/>
      <c r="K48" s="670" t="s">
        <v>1100</v>
      </c>
      <c r="L48" s="2161"/>
      <c r="M48" s="662">
        <v>0.85</v>
      </c>
    </row>
    <row r="49" spans="1:13" ht="83.25" customHeight="1" x14ac:dyDescent="0.25">
      <c r="A49" s="2154"/>
      <c r="B49" s="664" t="s">
        <v>1101</v>
      </c>
      <c r="C49" s="664"/>
      <c r="D49" s="664"/>
      <c r="E49" s="661" t="s">
        <v>1102</v>
      </c>
      <c r="F49" s="669"/>
      <c r="G49" s="658" t="s">
        <v>1042</v>
      </c>
      <c r="H49" s="659" t="s">
        <v>1103</v>
      </c>
      <c r="I49" s="2163" t="s">
        <v>195</v>
      </c>
      <c r="J49" s="2166" t="s">
        <v>1104</v>
      </c>
      <c r="K49" s="2167" t="s">
        <v>1105</v>
      </c>
      <c r="L49" s="2161"/>
      <c r="M49" s="2165">
        <v>0.7</v>
      </c>
    </row>
    <row r="50" spans="1:13" ht="67.5" customHeight="1" x14ac:dyDescent="0.25">
      <c r="A50" s="2154"/>
      <c r="B50" s="664" t="s">
        <v>1106</v>
      </c>
      <c r="C50" s="664"/>
      <c r="D50" s="664"/>
      <c r="E50" s="661" t="s">
        <v>1107</v>
      </c>
      <c r="F50" s="669"/>
      <c r="G50" s="658" t="s">
        <v>1042</v>
      </c>
      <c r="H50" s="659" t="s">
        <v>1108</v>
      </c>
      <c r="I50" s="2163"/>
      <c r="J50" s="2166"/>
      <c r="K50" s="2167"/>
      <c r="L50" s="2161"/>
      <c r="M50" s="2165"/>
    </row>
    <row r="51" spans="1:13" ht="87.75" customHeight="1" x14ac:dyDescent="0.25">
      <c r="A51" s="2154"/>
      <c r="B51" s="664" t="s">
        <v>1109</v>
      </c>
      <c r="C51" s="664"/>
      <c r="D51" s="664"/>
      <c r="E51" s="661" t="s">
        <v>1110</v>
      </c>
      <c r="F51" s="669"/>
      <c r="G51" s="658" t="s">
        <v>1042</v>
      </c>
      <c r="H51" s="659" t="s">
        <v>1111</v>
      </c>
      <c r="I51" s="660" t="s">
        <v>195</v>
      </c>
      <c r="J51" s="2166"/>
      <c r="K51" s="656" t="s">
        <v>1112</v>
      </c>
      <c r="L51" s="2161"/>
      <c r="M51" s="662">
        <v>0.75</v>
      </c>
    </row>
    <row r="52" spans="1:13" ht="87.75" customHeight="1" x14ac:dyDescent="0.25">
      <c r="A52" s="2154"/>
      <c r="B52" s="675"/>
      <c r="C52" s="675"/>
      <c r="D52" s="675"/>
      <c r="E52" s="676"/>
      <c r="F52" s="677"/>
      <c r="G52" s="678"/>
      <c r="H52" s="679"/>
      <c r="I52" s="680" t="s">
        <v>193</v>
      </c>
      <c r="J52" s="2166" t="s">
        <v>1113</v>
      </c>
      <c r="K52" s="681"/>
      <c r="L52" s="2161"/>
      <c r="M52" s="662">
        <v>0.8</v>
      </c>
    </row>
    <row r="53" spans="1:13" ht="87.75" customHeight="1" x14ac:dyDescent="0.25">
      <c r="A53" s="2154"/>
      <c r="B53" s="675"/>
      <c r="C53" s="675"/>
      <c r="D53" s="675"/>
      <c r="E53" s="676"/>
      <c r="F53" s="677"/>
      <c r="G53" s="678"/>
      <c r="H53" s="679"/>
      <c r="I53" s="680" t="s">
        <v>195</v>
      </c>
      <c r="J53" s="2166"/>
      <c r="K53" s="681"/>
      <c r="L53" s="2161"/>
      <c r="M53" s="662">
        <v>0.85</v>
      </c>
    </row>
    <row r="54" spans="1:13" ht="87.75" customHeight="1" x14ac:dyDescent="0.25">
      <c r="A54" s="2154"/>
      <c r="B54" s="675"/>
      <c r="C54" s="675"/>
      <c r="D54" s="675"/>
      <c r="E54" s="676"/>
      <c r="F54" s="677"/>
      <c r="G54" s="678"/>
      <c r="H54" s="679"/>
      <c r="I54" s="680" t="s">
        <v>193</v>
      </c>
      <c r="J54" s="2166"/>
      <c r="K54" s="681"/>
      <c r="L54" s="2161"/>
      <c r="M54" s="662"/>
    </row>
    <row r="55" spans="1:13" ht="36" customHeight="1" x14ac:dyDescent="0.25">
      <c r="A55" s="2154"/>
      <c r="B55" s="2178" t="s">
        <v>1114</v>
      </c>
      <c r="C55" s="2179"/>
      <c r="D55" s="2179"/>
      <c r="E55" s="2179"/>
      <c r="F55" s="2179"/>
      <c r="G55" s="2179"/>
      <c r="H55" s="2179"/>
      <c r="I55" s="2179"/>
      <c r="J55" s="2179"/>
      <c r="K55" s="2180"/>
      <c r="L55" s="2161"/>
      <c r="M55" s="662"/>
    </row>
    <row r="56" spans="1:13" ht="172.5" customHeight="1" x14ac:dyDescent="0.25">
      <c r="A56" s="2154"/>
      <c r="B56" s="664" t="s">
        <v>1115</v>
      </c>
      <c r="C56" s="664"/>
      <c r="D56" s="664"/>
      <c r="E56" s="670" t="s">
        <v>1116</v>
      </c>
      <c r="F56" s="669"/>
      <c r="G56" s="658" t="s">
        <v>1042</v>
      </c>
      <c r="H56" s="682" t="s">
        <v>1117</v>
      </c>
      <c r="I56" s="683" t="s">
        <v>195</v>
      </c>
      <c r="J56" s="2181" t="s">
        <v>1114</v>
      </c>
      <c r="K56" s="684" t="s">
        <v>1118</v>
      </c>
      <c r="L56" s="2161"/>
      <c r="M56" s="662"/>
    </row>
    <row r="57" spans="1:13" ht="102" customHeight="1" x14ac:dyDescent="0.25">
      <c r="A57" s="2154"/>
      <c r="B57" s="664" t="s">
        <v>1119</v>
      </c>
      <c r="C57" s="664"/>
      <c r="D57" s="664"/>
      <c r="E57" s="670" t="s">
        <v>1120</v>
      </c>
      <c r="F57" s="669"/>
      <c r="G57" s="658" t="s">
        <v>1049</v>
      </c>
      <c r="H57" s="682" t="s">
        <v>1121</v>
      </c>
      <c r="I57" s="2168" t="s">
        <v>195</v>
      </c>
      <c r="J57" s="2182"/>
      <c r="K57" s="2167" t="s">
        <v>1122</v>
      </c>
      <c r="L57" s="2161"/>
      <c r="M57" s="2165"/>
    </row>
    <row r="58" spans="1:13" ht="63.75" customHeight="1" x14ac:dyDescent="0.25">
      <c r="A58" s="2154"/>
      <c r="B58" s="664" t="s">
        <v>1123</v>
      </c>
      <c r="C58" s="664"/>
      <c r="D58" s="664"/>
      <c r="E58" s="670" t="s">
        <v>1124</v>
      </c>
      <c r="F58" s="669"/>
      <c r="G58" s="658" t="s">
        <v>1049</v>
      </c>
      <c r="H58" s="682" t="s">
        <v>1125</v>
      </c>
      <c r="I58" s="2169"/>
      <c r="J58" s="2182"/>
      <c r="K58" s="2167"/>
      <c r="L58" s="2161"/>
      <c r="M58" s="2165"/>
    </row>
    <row r="59" spans="1:13" ht="79.5" customHeight="1" x14ac:dyDescent="0.25">
      <c r="A59" s="2154"/>
      <c r="B59" s="664" t="s">
        <v>1126</v>
      </c>
      <c r="C59" s="664"/>
      <c r="D59" s="664"/>
      <c r="E59" s="670" t="s">
        <v>1127</v>
      </c>
      <c r="F59" s="669"/>
      <c r="G59" s="658" t="s">
        <v>1049</v>
      </c>
      <c r="H59" s="682" t="s">
        <v>1128</v>
      </c>
      <c r="I59" s="2169"/>
      <c r="J59" s="2182"/>
      <c r="K59" s="2167"/>
      <c r="L59" s="2161"/>
      <c r="M59" s="2165"/>
    </row>
    <row r="60" spans="1:13" ht="93.75" customHeight="1" x14ac:dyDescent="0.25">
      <c r="A60" s="2154"/>
      <c r="B60" s="664" t="s">
        <v>1129</v>
      </c>
      <c r="C60" s="664"/>
      <c r="D60" s="664"/>
      <c r="E60" s="670" t="s">
        <v>1130</v>
      </c>
      <c r="F60" s="669"/>
      <c r="G60" s="658" t="s">
        <v>1049</v>
      </c>
      <c r="H60" s="682" t="s">
        <v>1131</v>
      </c>
      <c r="I60" s="2170"/>
      <c r="J60" s="2182"/>
      <c r="K60" s="2167"/>
      <c r="L60" s="2161"/>
      <c r="M60" s="2165"/>
    </row>
    <row r="61" spans="1:13" ht="90.75" customHeight="1" x14ac:dyDescent="0.25">
      <c r="A61" s="2154"/>
      <c r="B61" s="664" t="s">
        <v>1132</v>
      </c>
      <c r="C61" s="664"/>
      <c r="D61" s="664"/>
      <c r="E61" s="670" t="s">
        <v>1133</v>
      </c>
      <c r="F61" s="669"/>
      <c r="G61" s="670" t="s">
        <v>1049</v>
      </c>
      <c r="H61" s="682" t="s">
        <v>1134</v>
      </c>
      <c r="I61" s="2168" t="s">
        <v>195</v>
      </c>
      <c r="J61" s="2182"/>
      <c r="K61" s="2167" t="s">
        <v>1135</v>
      </c>
      <c r="L61" s="2161"/>
      <c r="M61" s="2165"/>
    </row>
    <row r="62" spans="1:13" ht="65.25" customHeight="1" x14ac:dyDescent="0.25">
      <c r="A62" s="2154"/>
      <c r="B62" s="664" t="s">
        <v>1136</v>
      </c>
      <c r="C62" s="664"/>
      <c r="D62" s="664"/>
      <c r="E62" s="670" t="s">
        <v>1137</v>
      </c>
      <c r="F62" s="669"/>
      <c r="G62" s="670" t="s">
        <v>1042</v>
      </c>
      <c r="H62" s="682" t="s">
        <v>1138</v>
      </c>
      <c r="I62" s="2170"/>
      <c r="J62" s="2182"/>
      <c r="K62" s="2167"/>
      <c r="L62" s="2161"/>
      <c r="M62" s="2165"/>
    </row>
    <row r="63" spans="1:13" s="612" customFormat="1" ht="119.25" customHeight="1" thickBot="1" x14ac:dyDescent="0.3">
      <c r="A63" s="2155"/>
      <c r="B63" s="685" t="s">
        <v>1139</v>
      </c>
      <c r="C63" s="685"/>
      <c r="D63" s="685"/>
      <c r="E63" s="686" t="s">
        <v>1140</v>
      </c>
      <c r="F63" s="687"/>
      <c r="G63" s="688" t="s">
        <v>1042</v>
      </c>
      <c r="H63" s="689" t="s">
        <v>1141</v>
      </c>
      <c r="I63" s="690" t="s">
        <v>195</v>
      </c>
      <c r="J63" s="2183"/>
      <c r="K63" s="691" t="s">
        <v>1142</v>
      </c>
      <c r="L63" s="2162"/>
      <c r="M63" s="692"/>
    </row>
    <row r="64" spans="1:13" ht="42.75" customHeight="1" thickBot="1" x14ac:dyDescent="0.3">
      <c r="A64" s="2184" t="s">
        <v>1143</v>
      </c>
      <c r="B64" s="2185"/>
      <c r="C64" s="2185"/>
      <c r="D64" s="2185"/>
      <c r="E64" s="2185"/>
      <c r="F64" s="2185"/>
      <c r="G64" s="2185"/>
      <c r="H64" s="2185"/>
      <c r="I64" s="2185"/>
      <c r="J64" s="2185"/>
      <c r="K64" s="2185"/>
      <c r="L64" s="2185"/>
      <c r="M64" s="2186"/>
    </row>
    <row r="65" spans="1:13" ht="33.75" customHeight="1" x14ac:dyDescent="0.25">
      <c r="A65" s="2187" t="s">
        <v>1144</v>
      </c>
      <c r="B65" s="2189" t="s">
        <v>1145</v>
      </c>
      <c r="C65" s="2189"/>
      <c r="D65" s="2189"/>
      <c r="E65" s="2189"/>
      <c r="F65" s="2189"/>
      <c r="G65" s="2189"/>
      <c r="H65" s="2189"/>
      <c r="I65" s="2190" t="s">
        <v>193</v>
      </c>
      <c r="J65" s="2191" t="s">
        <v>1146</v>
      </c>
      <c r="K65" s="2194"/>
      <c r="L65" s="2197" t="s">
        <v>1147</v>
      </c>
      <c r="M65" s="2198"/>
    </row>
    <row r="66" spans="1:13" ht="43.5" customHeight="1" x14ac:dyDescent="0.25">
      <c r="A66" s="2188"/>
      <c r="B66" s="2201" t="s">
        <v>1148</v>
      </c>
      <c r="C66" s="2201"/>
      <c r="D66" s="2201"/>
      <c r="E66" s="2201"/>
      <c r="F66" s="2201"/>
      <c r="G66" s="2201"/>
      <c r="H66" s="2201"/>
      <c r="I66" s="2169"/>
      <c r="J66" s="2192"/>
      <c r="K66" s="2195"/>
      <c r="L66" s="2167"/>
      <c r="M66" s="2199"/>
    </row>
    <row r="67" spans="1:13" ht="30.75" customHeight="1" x14ac:dyDescent="0.25">
      <c r="A67" s="2188"/>
      <c r="B67" s="2201" t="s">
        <v>1149</v>
      </c>
      <c r="C67" s="2201"/>
      <c r="D67" s="2201"/>
      <c r="E67" s="2201"/>
      <c r="F67" s="2201"/>
      <c r="G67" s="2201"/>
      <c r="H67" s="2201"/>
      <c r="I67" s="2170"/>
      <c r="J67" s="2192"/>
      <c r="K67" s="2195"/>
      <c r="L67" s="2167"/>
      <c r="M67" s="2200"/>
    </row>
    <row r="68" spans="1:13" ht="39" customHeight="1" x14ac:dyDescent="0.25">
      <c r="A68" s="2188"/>
      <c r="B68" s="2201" t="s">
        <v>1150</v>
      </c>
      <c r="C68" s="2201"/>
      <c r="D68" s="2201"/>
      <c r="E68" s="2201"/>
      <c r="F68" s="2201"/>
      <c r="G68" s="2201"/>
      <c r="H68" s="2201"/>
      <c r="I68" s="2168" t="s">
        <v>193</v>
      </c>
      <c r="J68" s="2192"/>
      <c r="K68" s="2195"/>
      <c r="L68" s="2167" t="s">
        <v>1151</v>
      </c>
      <c r="M68" s="2204"/>
    </row>
    <row r="69" spans="1:13" ht="27.75" customHeight="1" x14ac:dyDescent="0.25">
      <c r="A69" s="2188"/>
      <c r="B69" s="2201" t="s">
        <v>1152</v>
      </c>
      <c r="C69" s="2201"/>
      <c r="D69" s="2201"/>
      <c r="E69" s="2201"/>
      <c r="F69" s="2201"/>
      <c r="G69" s="2201"/>
      <c r="H69" s="2201"/>
      <c r="I69" s="2169"/>
      <c r="J69" s="2192"/>
      <c r="K69" s="2195"/>
      <c r="L69" s="2167"/>
      <c r="M69" s="2199"/>
    </row>
    <row r="70" spans="1:13" ht="34.5" customHeight="1" x14ac:dyDescent="0.25">
      <c r="A70" s="2188"/>
      <c r="B70" s="2201" t="s">
        <v>1153</v>
      </c>
      <c r="C70" s="2201"/>
      <c r="D70" s="2201"/>
      <c r="E70" s="2201"/>
      <c r="F70" s="2201"/>
      <c r="G70" s="2201"/>
      <c r="H70" s="2201"/>
      <c r="I70" s="2169"/>
      <c r="J70" s="2192"/>
      <c r="K70" s="2195"/>
      <c r="L70" s="2167"/>
      <c r="M70" s="2199"/>
    </row>
    <row r="71" spans="1:13" ht="41.25" customHeight="1" x14ac:dyDescent="0.25">
      <c r="A71" s="2188"/>
      <c r="B71" s="2201" t="s">
        <v>1154</v>
      </c>
      <c r="C71" s="2201"/>
      <c r="D71" s="2201"/>
      <c r="E71" s="2201"/>
      <c r="F71" s="2201"/>
      <c r="G71" s="2201"/>
      <c r="H71" s="2201"/>
      <c r="I71" s="2170"/>
      <c r="J71" s="2192"/>
      <c r="K71" s="2195"/>
      <c r="L71" s="2167"/>
      <c r="M71" s="2200"/>
    </row>
    <row r="72" spans="1:13" ht="34.5" customHeight="1" x14ac:dyDescent="0.25">
      <c r="A72" s="2188" t="s">
        <v>1155</v>
      </c>
      <c r="B72" s="2201" t="s">
        <v>1156</v>
      </c>
      <c r="C72" s="2201"/>
      <c r="D72" s="2201"/>
      <c r="E72" s="2201"/>
      <c r="F72" s="2201"/>
      <c r="G72" s="2201"/>
      <c r="H72" s="2201"/>
      <c r="I72" s="2168" t="s">
        <v>193</v>
      </c>
      <c r="J72" s="2192"/>
      <c r="K72" s="2195"/>
      <c r="L72" s="2167" t="s">
        <v>1157</v>
      </c>
      <c r="M72" s="2204"/>
    </row>
    <row r="73" spans="1:13" ht="32.25" customHeight="1" x14ac:dyDescent="0.25">
      <c r="A73" s="2188"/>
      <c r="B73" s="2201" t="s">
        <v>1158</v>
      </c>
      <c r="C73" s="2201"/>
      <c r="D73" s="2201"/>
      <c r="E73" s="2201"/>
      <c r="F73" s="2201"/>
      <c r="G73" s="2201"/>
      <c r="H73" s="2201"/>
      <c r="I73" s="2169"/>
      <c r="J73" s="2192"/>
      <c r="K73" s="2195"/>
      <c r="L73" s="2167"/>
      <c r="M73" s="2199"/>
    </row>
    <row r="74" spans="1:13" ht="34.5" customHeight="1" thickBot="1" x14ac:dyDescent="0.3">
      <c r="A74" s="2202"/>
      <c r="B74" s="2206" t="s">
        <v>1159</v>
      </c>
      <c r="C74" s="2206"/>
      <c r="D74" s="2206"/>
      <c r="E74" s="2206"/>
      <c r="F74" s="2206"/>
      <c r="G74" s="2206"/>
      <c r="H74" s="2206"/>
      <c r="I74" s="2203"/>
      <c r="J74" s="2193"/>
      <c r="K74" s="2196"/>
      <c r="L74" s="2160"/>
      <c r="M74" s="2205"/>
    </row>
    <row r="75" spans="1:13" ht="48.75" customHeight="1" x14ac:dyDescent="0.25">
      <c r="A75" s="2187" t="s">
        <v>1022</v>
      </c>
      <c r="B75" s="2189" t="s">
        <v>1160</v>
      </c>
      <c r="C75" s="2189"/>
      <c r="D75" s="2189"/>
      <c r="E75" s="2189"/>
      <c r="F75" s="2189"/>
      <c r="G75" s="2189"/>
      <c r="H75" s="2189"/>
      <c r="I75" s="693" t="s">
        <v>193</v>
      </c>
      <c r="J75" s="2191" t="s">
        <v>1161</v>
      </c>
      <c r="K75" s="2197"/>
      <c r="L75" s="2197" t="s">
        <v>1162</v>
      </c>
      <c r="M75" s="694"/>
    </row>
    <row r="76" spans="1:13" ht="41.25" customHeight="1" x14ac:dyDescent="0.25">
      <c r="A76" s="2188"/>
      <c r="B76" s="2201" t="s">
        <v>1163</v>
      </c>
      <c r="C76" s="2201"/>
      <c r="D76" s="2201"/>
      <c r="E76" s="2201"/>
      <c r="F76" s="2201"/>
      <c r="G76" s="2201"/>
      <c r="H76" s="2201"/>
      <c r="I76" s="660" t="s">
        <v>193</v>
      </c>
      <c r="J76" s="2192"/>
      <c r="K76" s="2167"/>
      <c r="L76" s="2167"/>
      <c r="M76" s="695"/>
    </row>
    <row r="77" spans="1:13" ht="23.25" customHeight="1" x14ac:dyDescent="0.25">
      <c r="A77" s="2188"/>
      <c r="B77" s="2201" t="s">
        <v>1164</v>
      </c>
      <c r="C77" s="2201"/>
      <c r="D77" s="2201"/>
      <c r="E77" s="2201"/>
      <c r="F77" s="2201"/>
      <c r="G77" s="2201"/>
      <c r="H77" s="2201"/>
      <c r="I77" s="660" t="s">
        <v>193</v>
      </c>
      <c r="J77" s="2192"/>
      <c r="K77" s="2167"/>
      <c r="L77" s="2167"/>
      <c r="M77" s="695"/>
    </row>
    <row r="78" spans="1:13" ht="27.75" customHeight="1" x14ac:dyDescent="0.25">
      <c r="A78" s="2188"/>
      <c r="B78" s="2201" t="s">
        <v>1165</v>
      </c>
      <c r="C78" s="2201"/>
      <c r="D78" s="2201"/>
      <c r="E78" s="2201"/>
      <c r="F78" s="2201"/>
      <c r="G78" s="2201"/>
      <c r="H78" s="2201"/>
      <c r="I78" s="660" t="s">
        <v>193</v>
      </c>
      <c r="J78" s="2192"/>
      <c r="K78" s="2167"/>
      <c r="L78" s="2167"/>
      <c r="M78" s="695"/>
    </row>
    <row r="79" spans="1:13" ht="27" customHeight="1" x14ac:dyDescent="0.25">
      <c r="A79" s="2188"/>
      <c r="B79" s="2201" t="s">
        <v>1166</v>
      </c>
      <c r="C79" s="2201"/>
      <c r="D79" s="2201"/>
      <c r="E79" s="2201"/>
      <c r="F79" s="2201"/>
      <c r="G79" s="2201"/>
      <c r="H79" s="2201"/>
      <c r="I79" s="660" t="s">
        <v>193</v>
      </c>
      <c r="J79" s="2192"/>
      <c r="K79" s="2167"/>
      <c r="L79" s="2167"/>
      <c r="M79" s="695"/>
    </row>
    <row r="80" spans="1:13" ht="41.25" customHeight="1" x14ac:dyDescent="0.25">
      <c r="A80" s="2188"/>
      <c r="B80" s="2201" t="s">
        <v>1167</v>
      </c>
      <c r="C80" s="2201"/>
      <c r="D80" s="2201"/>
      <c r="E80" s="2201"/>
      <c r="F80" s="2201"/>
      <c r="G80" s="2201"/>
      <c r="H80" s="2201"/>
      <c r="I80" s="660" t="s">
        <v>193</v>
      </c>
      <c r="J80" s="2192"/>
      <c r="K80" s="2167"/>
      <c r="L80" s="2167"/>
      <c r="M80" s="695"/>
    </row>
    <row r="81" spans="1:13" ht="57" customHeight="1" x14ac:dyDescent="0.25">
      <c r="A81" s="2188"/>
      <c r="B81" s="2201" t="s">
        <v>1168</v>
      </c>
      <c r="C81" s="2201"/>
      <c r="D81" s="2201"/>
      <c r="E81" s="2201"/>
      <c r="F81" s="2201"/>
      <c r="G81" s="2201"/>
      <c r="H81" s="2201"/>
      <c r="I81" s="660" t="s">
        <v>195</v>
      </c>
      <c r="J81" s="2192"/>
      <c r="K81" s="2167"/>
      <c r="L81" s="2167"/>
      <c r="M81" s="695"/>
    </row>
    <row r="82" spans="1:13" ht="29.25" customHeight="1" x14ac:dyDescent="0.25">
      <c r="A82" s="2188" t="s">
        <v>1023</v>
      </c>
      <c r="B82" s="2208" t="s">
        <v>1169</v>
      </c>
      <c r="C82" s="2208"/>
      <c r="D82" s="2208"/>
      <c r="E82" s="2208"/>
      <c r="F82" s="2208"/>
      <c r="G82" s="2208"/>
      <c r="H82" s="2208"/>
      <c r="I82" s="660" t="s">
        <v>195</v>
      </c>
      <c r="J82" s="2166" t="s">
        <v>1170</v>
      </c>
      <c r="K82" s="2164"/>
      <c r="L82" s="2167" t="s">
        <v>1171</v>
      </c>
      <c r="M82" s="695"/>
    </row>
    <row r="83" spans="1:13" ht="29.25" customHeight="1" x14ac:dyDescent="0.25">
      <c r="A83" s="2188"/>
      <c r="B83" s="2208" t="s">
        <v>1172</v>
      </c>
      <c r="C83" s="2208"/>
      <c r="D83" s="2208"/>
      <c r="E83" s="2208"/>
      <c r="F83" s="2208"/>
      <c r="G83" s="2208"/>
      <c r="H83" s="2208"/>
      <c r="I83" s="660" t="s">
        <v>195</v>
      </c>
      <c r="J83" s="2166"/>
      <c r="K83" s="2164"/>
      <c r="L83" s="2167"/>
      <c r="M83" s="695"/>
    </row>
    <row r="84" spans="1:13" ht="36.75" customHeight="1" x14ac:dyDescent="0.25">
      <c r="A84" s="2188"/>
      <c r="B84" s="2201" t="s">
        <v>1173</v>
      </c>
      <c r="C84" s="2201"/>
      <c r="D84" s="2201"/>
      <c r="E84" s="2201"/>
      <c r="F84" s="2201"/>
      <c r="G84" s="2201"/>
      <c r="H84" s="2201"/>
      <c r="I84" s="660" t="s">
        <v>195</v>
      </c>
      <c r="J84" s="2192"/>
      <c r="K84" s="2164"/>
      <c r="L84" s="2167"/>
      <c r="M84" s="695"/>
    </row>
    <row r="85" spans="1:13" ht="21" customHeight="1" x14ac:dyDescent="0.25">
      <c r="A85" s="2188"/>
      <c r="B85" s="2208" t="s">
        <v>1174</v>
      </c>
      <c r="C85" s="2208"/>
      <c r="D85" s="2208"/>
      <c r="E85" s="2208"/>
      <c r="F85" s="2208"/>
      <c r="G85" s="2208"/>
      <c r="H85" s="2208"/>
      <c r="I85" s="660" t="s">
        <v>193</v>
      </c>
      <c r="J85" s="2192"/>
      <c r="K85" s="2164"/>
      <c r="L85" s="2167"/>
      <c r="M85" s="695"/>
    </row>
    <row r="86" spans="1:13" ht="45.75" customHeight="1" x14ac:dyDescent="0.25">
      <c r="A86" s="2188"/>
      <c r="B86" s="2201" t="s">
        <v>1175</v>
      </c>
      <c r="C86" s="2201"/>
      <c r="D86" s="2201"/>
      <c r="E86" s="2201"/>
      <c r="F86" s="2201"/>
      <c r="G86" s="2201"/>
      <c r="H86" s="2201"/>
      <c r="I86" s="660" t="s">
        <v>195</v>
      </c>
      <c r="J86" s="2192"/>
      <c r="K86" s="2164"/>
      <c r="L86" s="2167"/>
      <c r="M86" s="695"/>
    </row>
    <row r="87" spans="1:13" ht="36.75" customHeight="1" thickBot="1" x14ac:dyDescent="0.3">
      <c r="A87" s="2207"/>
      <c r="B87" s="2221" t="s">
        <v>1176</v>
      </c>
      <c r="C87" s="2221"/>
      <c r="D87" s="2221"/>
      <c r="E87" s="2221"/>
      <c r="F87" s="2221"/>
      <c r="G87" s="2221"/>
      <c r="H87" s="2221"/>
      <c r="I87" s="696" t="s">
        <v>195</v>
      </c>
      <c r="J87" s="2209"/>
      <c r="K87" s="2210"/>
      <c r="L87" s="2211"/>
      <c r="M87" s="697"/>
    </row>
    <row r="88" spans="1:13" x14ac:dyDescent="0.25">
      <c r="A88" s="698" t="s">
        <v>1177</v>
      </c>
    </row>
    <row r="89" spans="1:13" ht="15.75" thickBot="1" x14ac:dyDescent="0.3">
      <c r="B89" s="699"/>
      <c r="C89" s="699"/>
      <c r="D89" s="699"/>
    </row>
    <row r="90" spans="1:13" ht="42.75" customHeight="1" x14ac:dyDescent="0.25">
      <c r="A90" s="2222" t="s">
        <v>1178</v>
      </c>
      <c r="B90" s="2223"/>
      <c r="C90" s="2223"/>
      <c r="D90" s="2223"/>
      <c r="E90" s="2223"/>
      <c r="F90" s="2223"/>
      <c r="G90" s="2223"/>
      <c r="H90" s="2223"/>
      <c r="I90" s="2223"/>
      <c r="J90" s="2223"/>
      <c r="K90" s="2223"/>
      <c r="L90" s="2224"/>
    </row>
    <row r="91" spans="1:13" x14ac:dyDescent="0.25">
      <c r="A91" s="700"/>
      <c r="B91" s="372"/>
      <c r="C91" s="372"/>
      <c r="D91" s="372"/>
      <c r="E91" s="372"/>
      <c r="F91" s="372"/>
      <c r="G91" s="372"/>
      <c r="H91" s="372"/>
      <c r="I91" s="372"/>
      <c r="J91" s="271"/>
      <c r="K91" s="372"/>
      <c r="L91" s="701"/>
    </row>
    <row r="92" spans="1:13" ht="74.25" customHeight="1" x14ac:dyDescent="0.25">
      <c r="A92" s="2225" t="s">
        <v>1179</v>
      </c>
      <c r="B92" s="2226"/>
      <c r="C92" s="2226"/>
      <c r="D92" s="2226"/>
      <c r="E92" s="2226"/>
      <c r="F92" s="2226"/>
      <c r="G92" s="2226"/>
      <c r="H92" s="2226"/>
      <c r="I92" s="2226"/>
      <c r="J92" s="2226"/>
      <c r="K92" s="2226"/>
      <c r="L92" s="2227"/>
    </row>
    <row r="93" spans="1:13" x14ac:dyDescent="0.25">
      <c r="A93" s="702"/>
      <c r="B93" s="408"/>
      <c r="C93" s="408"/>
      <c r="D93" s="408"/>
      <c r="E93" s="372"/>
      <c r="F93" s="372"/>
      <c r="G93" s="372"/>
      <c r="H93" s="372"/>
      <c r="I93" s="372"/>
      <c r="J93" s="271"/>
      <c r="K93" s="372"/>
      <c r="L93" s="701"/>
    </row>
    <row r="94" spans="1:13" x14ac:dyDescent="0.25">
      <c r="A94" s="2228" t="s">
        <v>1180</v>
      </c>
      <c r="B94" s="2229"/>
      <c r="C94" s="2229"/>
      <c r="D94" s="2229"/>
      <c r="E94" s="2229"/>
      <c r="F94" s="2229"/>
      <c r="G94" s="2229"/>
      <c r="H94" s="2229"/>
      <c r="I94" s="372"/>
      <c r="J94" s="271"/>
      <c r="K94" s="372"/>
      <c r="L94" s="701"/>
    </row>
    <row r="95" spans="1:13" ht="30.75" customHeight="1" x14ac:dyDescent="0.25">
      <c r="A95" s="2215" t="s">
        <v>1181</v>
      </c>
      <c r="B95" s="2216"/>
      <c r="C95" s="2216"/>
      <c r="D95" s="2216"/>
      <c r="E95" s="2216"/>
      <c r="F95" s="2216"/>
      <c r="G95" s="2216"/>
      <c r="H95" s="2216"/>
      <c r="I95" s="372"/>
      <c r="J95" s="271"/>
      <c r="K95" s="372"/>
      <c r="L95" s="701"/>
    </row>
    <row r="96" spans="1:13" x14ac:dyDescent="0.25">
      <c r="A96" s="2213" t="s">
        <v>1182</v>
      </c>
      <c r="B96" s="2214"/>
      <c r="C96" s="2214"/>
      <c r="D96" s="2214"/>
      <c r="E96" s="2214"/>
      <c r="F96" s="2214"/>
      <c r="G96" s="2214"/>
      <c r="H96" s="2214"/>
      <c r="I96" s="372"/>
      <c r="J96" s="271"/>
      <c r="K96" s="372"/>
      <c r="L96" s="701"/>
    </row>
    <row r="97" spans="1:12" ht="18.75" customHeight="1" x14ac:dyDescent="0.25">
      <c r="A97" s="703" t="s">
        <v>1183</v>
      </c>
      <c r="B97" s="408"/>
      <c r="C97" s="408"/>
      <c r="D97" s="408"/>
      <c r="E97" s="372"/>
      <c r="F97" s="372"/>
      <c r="G97" s="372"/>
      <c r="H97" s="372"/>
      <c r="I97" s="372"/>
      <c r="J97" s="271"/>
      <c r="K97" s="372"/>
      <c r="L97" s="701"/>
    </row>
    <row r="98" spans="1:12" ht="15" customHeight="1" x14ac:dyDescent="0.25">
      <c r="A98" s="2213" t="s">
        <v>1184</v>
      </c>
      <c r="B98" s="2214"/>
      <c r="C98" s="2214"/>
      <c r="D98" s="2214"/>
      <c r="E98" s="2214"/>
      <c r="F98" s="2214"/>
      <c r="G98" s="2214"/>
      <c r="H98" s="372"/>
      <c r="I98" s="372"/>
      <c r="J98" s="271"/>
      <c r="K98" s="372"/>
      <c r="L98" s="701"/>
    </row>
    <row r="99" spans="1:12" ht="15" customHeight="1" x14ac:dyDescent="0.25">
      <c r="A99" s="2213" t="s">
        <v>1185</v>
      </c>
      <c r="B99" s="2214"/>
      <c r="C99" s="2214"/>
      <c r="D99" s="2214"/>
      <c r="E99" s="2214"/>
      <c r="F99" s="2214"/>
      <c r="G99" s="2214"/>
      <c r="H99" s="372"/>
      <c r="I99" s="372"/>
      <c r="J99" s="271"/>
      <c r="K99" s="372"/>
      <c r="L99" s="701"/>
    </row>
    <row r="100" spans="1:12" ht="39" customHeight="1" x14ac:dyDescent="0.25">
      <c r="A100" s="2215" t="s">
        <v>1186</v>
      </c>
      <c r="B100" s="2216"/>
      <c r="C100" s="2216"/>
      <c r="D100" s="2216"/>
      <c r="E100" s="2216"/>
      <c r="F100" s="2216"/>
      <c r="G100" s="2216"/>
      <c r="H100" s="372"/>
      <c r="I100" s="372"/>
      <c r="J100" s="271"/>
      <c r="K100" s="372"/>
      <c r="L100" s="701"/>
    </row>
    <row r="101" spans="1:12" ht="54.75" customHeight="1" thickBot="1" x14ac:dyDescent="0.3">
      <c r="A101" s="2217" t="s">
        <v>1187</v>
      </c>
      <c r="B101" s="2218"/>
      <c r="C101" s="2218"/>
      <c r="D101" s="2218"/>
      <c r="E101" s="2218"/>
      <c r="F101" s="2218"/>
      <c r="G101" s="2218"/>
      <c r="H101" s="2218"/>
      <c r="I101" s="2218"/>
      <c r="J101" s="2218"/>
      <c r="K101" s="2218"/>
      <c r="L101" s="2219"/>
    </row>
    <row r="102" spans="1:12" x14ac:dyDescent="0.25">
      <c r="A102" s="2212"/>
      <c r="B102" s="2212"/>
      <c r="C102" s="2212"/>
      <c r="D102" s="2212"/>
      <c r="E102" s="2212"/>
      <c r="F102" s="2212"/>
      <c r="G102" s="2212"/>
    </row>
    <row r="103" spans="1:12" ht="39" customHeight="1" x14ac:dyDescent="0.25">
      <c r="A103" s="2220"/>
      <c r="B103" s="2220"/>
      <c r="C103" s="2220"/>
      <c r="D103" s="2220"/>
      <c r="E103" s="2220"/>
      <c r="F103" s="2220"/>
      <c r="G103" s="2220"/>
    </row>
    <row r="104" spans="1:12" x14ac:dyDescent="0.25">
      <c r="A104" s="2212"/>
      <c r="B104" s="2212"/>
      <c r="C104" s="2212"/>
      <c r="D104" s="2212"/>
      <c r="E104" s="2212"/>
      <c r="F104" s="2212"/>
      <c r="G104" s="2212"/>
    </row>
    <row r="106" spans="1:12" ht="18.75" customHeight="1" x14ac:dyDescent="0.25"/>
    <row r="108" spans="1:12" x14ac:dyDescent="0.25">
      <c r="A108" s="704"/>
      <c r="B108"/>
      <c r="C108"/>
      <c r="D108"/>
    </row>
    <row r="110" spans="1:12" ht="31.5" customHeight="1" x14ac:dyDescent="0.25"/>
    <row r="115" spans="1:4" ht="27.75" customHeight="1" x14ac:dyDescent="0.25"/>
    <row r="116" spans="1:4" ht="67.5" customHeight="1" x14ac:dyDescent="0.25"/>
    <row r="120" spans="1:4" x14ac:dyDescent="0.25">
      <c r="A120"/>
      <c r="B120"/>
      <c r="C120"/>
      <c r="D120"/>
    </row>
    <row r="121" spans="1:4" x14ac:dyDescent="0.25">
      <c r="A121" s="705"/>
      <c r="B121"/>
      <c r="C121"/>
      <c r="D121"/>
    </row>
  </sheetData>
  <sheetProtection algorithmName="SHA-512" hashValue="CQouvArg8PZIpEhqSkHKFzcafx+/g4ZufiWij+xoDATYDeUs23uWSLOSDDkdg8hc33/qKa/opnTKNbEYPEclEw==" saltValue="QZR6j3tlT4L2Iaa7StMTCw==" spinCount="100000" sheet="1" objects="1" scenarios="1"/>
  <protectedRanges>
    <protectedRange sqref="M34:M63" name="Rango3_1"/>
    <protectedRange sqref="F34:F54" name="Rango1_1"/>
    <protectedRange sqref="F56:F63" name="Rango2_1"/>
    <protectedRange sqref="M65:M87" name="Rango4_1"/>
  </protectedRanges>
  <mergeCells count="126">
    <mergeCell ref="B78:H78"/>
    <mergeCell ref="B79:H79"/>
    <mergeCell ref="B80:H80"/>
    <mergeCell ref="A104:G104"/>
    <mergeCell ref="A98:G98"/>
    <mergeCell ref="A99:G99"/>
    <mergeCell ref="A100:G100"/>
    <mergeCell ref="A101:L101"/>
    <mergeCell ref="A102:G102"/>
    <mergeCell ref="A103:G103"/>
    <mergeCell ref="B87:H87"/>
    <mergeCell ref="A90:L90"/>
    <mergeCell ref="A92:L92"/>
    <mergeCell ref="A94:H94"/>
    <mergeCell ref="A95:H95"/>
    <mergeCell ref="A96:H96"/>
    <mergeCell ref="B68:H68"/>
    <mergeCell ref="I68:I71"/>
    <mergeCell ref="L68:L71"/>
    <mergeCell ref="M68:M71"/>
    <mergeCell ref="B69:H69"/>
    <mergeCell ref="B70:H70"/>
    <mergeCell ref="B71:H71"/>
    <mergeCell ref="B81:H81"/>
    <mergeCell ref="A82:A87"/>
    <mergeCell ref="B82:H82"/>
    <mergeCell ref="J82:J87"/>
    <mergeCell ref="K82:K87"/>
    <mergeCell ref="L82:L87"/>
    <mergeCell ref="B83:H83"/>
    <mergeCell ref="B84:H84"/>
    <mergeCell ref="B85:H85"/>
    <mergeCell ref="B86:H86"/>
    <mergeCell ref="A75:A81"/>
    <mergeCell ref="B75:H75"/>
    <mergeCell ref="J75:J81"/>
    <mergeCell ref="K75:K81"/>
    <mergeCell ref="L75:L81"/>
    <mergeCell ref="B76:H76"/>
    <mergeCell ref="B77:H77"/>
    <mergeCell ref="M61:M62"/>
    <mergeCell ref="M45:M47"/>
    <mergeCell ref="I49:I50"/>
    <mergeCell ref="J49:J51"/>
    <mergeCell ref="K49:K50"/>
    <mergeCell ref="M49:M50"/>
    <mergeCell ref="J52:J54"/>
    <mergeCell ref="A64:M64"/>
    <mergeCell ref="A65:A71"/>
    <mergeCell ref="B65:H65"/>
    <mergeCell ref="I65:I67"/>
    <mergeCell ref="J65:J74"/>
    <mergeCell ref="K65:K74"/>
    <mergeCell ref="L65:L67"/>
    <mergeCell ref="M65:M67"/>
    <mergeCell ref="B66:H66"/>
    <mergeCell ref="B67:H67"/>
    <mergeCell ref="A72:A74"/>
    <mergeCell ref="B72:H72"/>
    <mergeCell ref="I72:I74"/>
    <mergeCell ref="L72:L74"/>
    <mergeCell ref="M72:M74"/>
    <mergeCell ref="B73:H73"/>
    <mergeCell ref="B74:H74"/>
    <mergeCell ref="A33:A63"/>
    <mergeCell ref="B33:M33"/>
    <mergeCell ref="J34:J36"/>
    <mergeCell ref="L34:L63"/>
    <mergeCell ref="I35:I36"/>
    <mergeCell ref="K35:K36"/>
    <mergeCell ref="M35:M36"/>
    <mergeCell ref="J37:J41"/>
    <mergeCell ref="I40:I41"/>
    <mergeCell ref="K40:K41"/>
    <mergeCell ref="M40:M41"/>
    <mergeCell ref="I42:I44"/>
    <mergeCell ref="J42:J48"/>
    <mergeCell ref="K42:K44"/>
    <mergeCell ref="M42:M44"/>
    <mergeCell ref="I45:I47"/>
    <mergeCell ref="K45:K47"/>
    <mergeCell ref="B55:K55"/>
    <mergeCell ref="J56:J63"/>
    <mergeCell ref="I57:I60"/>
    <mergeCell ref="K57:K60"/>
    <mergeCell ref="M57:M60"/>
    <mergeCell ref="I61:I62"/>
    <mergeCell ref="K61:K62"/>
    <mergeCell ref="G17:H17"/>
    <mergeCell ref="G10:H10"/>
    <mergeCell ref="I10:J10"/>
    <mergeCell ref="G11:G12"/>
    <mergeCell ref="H11:H12"/>
    <mergeCell ref="I11:I12"/>
    <mergeCell ref="J11:J12"/>
    <mergeCell ref="A10:A12"/>
    <mergeCell ref="B10:B12"/>
    <mergeCell ref="C10:C12"/>
    <mergeCell ref="D10:D12"/>
    <mergeCell ref="E10:E12"/>
    <mergeCell ref="F10:F12"/>
    <mergeCell ref="G18:H18"/>
    <mergeCell ref="I18:J18"/>
    <mergeCell ref="A22:J22"/>
    <mergeCell ref="A23:H23"/>
    <mergeCell ref="A28:M28"/>
    <mergeCell ref="A30:A32"/>
    <mergeCell ref="B30:L30"/>
    <mergeCell ref="M30:M32"/>
    <mergeCell ref="B31:H31"/>
    <mergeCell ref="I31:I32"/>
    <mergeCell ref="J31:J32"/>
    <mergeCell ref="K31:K32"/>
    <mergeCell ref="L31:L32"/>
    <mergeCell ref="B6:F6"/>
    <mergeCell ref="H6:J6"/>
    <mergeCell ref="B7:F7"/>
    <mergeCell ref="H7:J7"/>
    <mergeCell ref="A8:J8"/>
    <mergeCell ref="A9:J9"/>
    <mergeCell ref="E1:L1"/>
    <mergeCell ref="A2:A3"/>
    <mergeCell ref="B5:F5"/>
    <mergeCell ref="B2:H3"/>
    <mergeCell ref="I2:J2"/>
    <mergeCell ref="I3:J3"/>
  </mergeCells>
  <conditionalFormatting sqref="E1:L1 A1 B4:J4 A4:A6 L4:L7 G6:H7 A7:B7">
    <cfRule type="cellIs" dxfId="221" priority="18" operator="equal">
      <formula>"ERROR"</formula>
    </cfRule>
  </conditionalFormatting>
  <conditionalFormatting sqref="G1:L1 F4:J4 G6:H7">
    <cfRule type="cellIs" dxfId="220" priority="14" operator="equal">
      <formula>"INEXISTENTE"</formula>
    </cfRule>
  </conditionalFormatting>
  <conditionalFormatting sqref="G1:L1 F4:J4 L4:L7 G6:H7">
    <cfRule type="cellIs" dxfId="219" priority="15" operator="equal">
      <formula>"INADECUADO"</formula>
    </cfRule>
    <cfRule type="cellIs" dxfId="218" priority="16" operator="equal">
      <formula>"PARCIALMENTE ADECUADO"</formula>
    </cfRule>
    <cfRule type="cellIs" dxfId="217" priority="17" operator="equal">
      <formula>"ADECUADO"</formula>
    </cfRule>
  </conditionalFormatting>
  <conditionalFormatting sqref="I18">
    <cfRule type="cellIs" dxfId="216" priority="21" stopIfTrue="1" operator="lessThan">
      <formula>0.75</formula>
    </cfRule>
    <cfRule type="cellIs" dxfId="215" priority="22" stopIfTrue="1" operator="greaterThanOrEqual">
      <formula>0.75</formula>
    </cfRule>
  </conditionalFormatting>
  <conditionalFormatting sqref="I17:J17">
    <cfRule type="cellIs" dxfId="214" priority="19" stopIfTrue="1" operator="lessThan">
      <formula>0.75</formula>
    </cfRule>
    <cfRule type="cellIs" dxfId="213" priority="20" stopIfTrue="1" operator="greaterThanOrEqual">
      <formula>0.75</formula>
    </cfRule>
  </conditionalFormatting>
  <conditionalFormatting sqref="L4:L7">
    <cfRule type="cellIs" dxfId="212" priority="6" operator="equal">
      <formula>"INEXISTENTE"</formula>
    </cfRule>
  </conditionalFormatting>
  <conditionalFormatting sqref="L5:L6 H6">
    <cfRule type="cellIs" dxfId="211" priority="10" operator="equal">
      <formula>"CRÍTICO"</formula>
    </cfRule>
    <cfRule type="cellIs" dxfId="210" priority="11" operator="equal">
      <formula>"ALTO"</formula>
    </cfRule>
    <cfRule type="cellIs" dxfId="209" priority="12" operator="equal">
      <formula>"MEDIO"</formula>
    </cfRule>
    <cfRule type="cellIs" dxfId="208" priority="13" operator="equal">
      <formula>"BAJO"</formula>
    </cfRule>
  </conditionalFormatting>
  <conditionalFormatting sqref="L5:L6">
    <cfRule type="cellIs" dxfId="207" priority="7" operator="equal">
      <formula>"INEFICAZ"</formula>
    </cfRule>
    <cfRule type="cellIs" dxfId="206" priority="8" operator="equal">
      <formula>"CON DEFICIENCIAS"</formula>
    </cfRule>
    <cfRule type="cellIs" dxfId="205" priority="9" operator="equal">
      <formula>"EFICAZ"</formula>
    </cfRule>
  </conditionalFormatting>
  <conditionalFormatting sqref="A2:B2 I2:I3">
    <cfRule type="cellIs" dxfId="204" priority="5" operator="equal">
      <formula>"ERROR"</formula>
    </cfRule>
  </conditionalFormatting>
  <conditionalFormatting sqref="I2:I3">
    <cfRule type="cellIs" dxfId="203" priority="1" operator="equal">
      <formula>"INEXISTENTE"</formula>
    </cfRule>
  </conditionalFormatting>
  <conditionalFormatting sqref="I2:I3">
    <cfRule type="cellIs" dxfId="202" priority="2" operator="equal">
      <formula>"INADECUADO"</formula>
    </cfRule>
    <cfRule type="cellIs" dxfId="201" priority="3" operator="equal">
      <formula>"PARCIALMENTE ADECUADO"</formula>
    </cfRule>
    <cfRule type="cellIs" dxfId="200" priority="4" operator="equal">
      <formula>"ADECUADO"</formula>
    </cfRule>
  </conditionalFormatting>
  <dataValidations count="16">
    <dataValidation type="custom" allowBlank="1" showInputMessage="1" showErrorMessage="1" sqref="M34 M38">
      <formula1>M34:M87&lt;=100%</formula1>
    </dataValidation>
    <dataValidation type="custom" allowBlank="1" showInputMessage="1" showErrorMessage="1" sqref="M39">
      <formula1>M39:M91&lt;=100%</formula1>
    </dataValidation>
    <dataValidation type="custom" allowBlank="1" showInputMessage="1" showErrorMessage="1" sqref="M37">
      <formula1>M37:M91&lt;=100%</formula1>
    </dataValidation>
    <dataValidation type="custom" allowBlank="1" showInputMessage="1" showErrorMessage="1" sqref="M40">
      <formula1>M40:M91&lt;=100%</formula1>
    </dataValidation>
    <dataValidation type="custom" allowBlank="1" showInputMessage="1" showErrorMessage="1" sqref="M42">
      <formula1>M42:M91&lt;=100%</formula1>
    </dataValidation>
    <dataValidation type="custom" allowBlank="1" showInputMessage="1" showErrorMessage="1" sqref="M49">
      <formula1>M49:M95&lt;=100%</formula1>
    </dataValidation>
    <dataValidation type="custom" allowBlank="1" showInputMessage="1" showErrorMessage="1" sqref="M65">
      <formula1>M65:M94&lt;=100%</formula1>
    </dataValidation>
    <dataValidation type="custom" allowBlank="1" showInputMessage="1" showErrorMessage="1" sqref="M57">
      <formula1>M57:M94&lt;=100%</formula1>
    </dataValidation>
    <dataValidation type="custom" allowBlank="1" showInputMessage="1" showErrorMessage="1" sqref="M61">
      <formula1>M61:M95&lt;=100%</formula1>
    </dataValidation>
    <dataValidation type="custom" allowBlank="1" showInputMessage="1" showErrorMessage="1" sqref="M68">
      <formula1>M68:M96&lt;=100%</formula1>
    </dataValidation>
    <dataValidation type="custom" allowBlank="1" showInputMessage="1" showErrorMessage="1" sqref="M63">
      <formula1>M63:M95&lt;=100%</formula1>
    </dataValidation>
    <dataValidation type="custom" allowBlank="1" showInputMessage="1" showErrorMessage="1" sqref="M72 M75:M82">
      <formula1>M72:M99&lt;=100%</formula1>
    </dataValidation>
    <dataValidation type="custom" allowBlank="1" showInputMessage="1" showErrorMessage="1" sqref="M83">
      <formula1>M83:M109&lt;=100%</formula1>
    </dataValidation>
    <dataValidation type="custom" allowBlank="1" showInputMessage="1" showErrorMessage="1" sqref="M84:M85">
      <formula1>M84:M109&lt;=100%</formula1>
    </dataValidation>
    <dataValidation type="custom" allowBlank="1" showInputMessage="1" showErrorMessage="1" sqref="M86:M87">
      <formula1>M86:M110&lt;=100%</formula1>
    </dataValidation>
    <dataValidation type="custom" allowBlank="1" showInputMessage="1" showErrorMessage="1" sqref="M51:M54">
      <formula1>M51:M94&lt;=100%</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6"/>
  <sheetViews>
    <sheetView zoomScaleNormal="100" workbookViewId="0">
      <selection sqref="A1:A2"/>
    </sheetView>
  </sheetViews>
  <sheetFormatPr baseColWidth="10" defaultColWidth="11.42578125" defaultRowHeight="14.25" x14ac:dyDescent="0.25"/>
  <cols>
    <col min="1" max="1" width="33.85546875" style="294" customWidth="1"/>
    <col min="2" max="2" width="70.140625" style="294" customWidth="1"/>
    <col min="3" max="3" width="29.5703125" style="294" customWidth="1"/>
    <col min="4" max="4" width="24.5703125" style="294" customWidth="1"/>
    <col min="5" max="5" width="28.85546875" style="294" customWidth="1"/>
    <col min="6" max="6" width="22.28515625" style="294" customWidth="1"/>
    <col min="7" max="7" width="31.5703125" style="294" customWidth="1"/>
    <col min="8" max="8" width="18" style="294" customWidth="1"/>
    <col min="9" max="9" width="33" style="294" customWidth="1"/>
    <col min="10" max="10" width="37.5703125" style="294" customWidth="1"/>
    <col min="11" max="11" width="23.7109375" style="294" customWidth="1"/>
    <col min="12" max="12" width="21.5703125" style="294" customWidth="1"/>
    <col min="13" max="13" width="33" style="294" customWidth="1"/>
    <col min="14" max="14" width="30.5703125" style="294" customWidth="1"/>
    <col min="15" max="15" width="19.7109375" style="294" customWidth="1"/>
    <col min="16" max="16" width="28" style="294" customWidth="1"/>
    <col min="17" max="17" width="19.140625" style="294" customWidth="1"/>
    <col min="18" max="18" width="15.85546875" style="294" customWidth="1"/>
    <col min="19" max="19" width="33.140625" style="294" customWidth="1"/>
    <col min="20" max="45" width="11.42578125" style="294"/>
    <col min="46" max="46" width="48.85546875" style="294" customWidth="1"/>
    <col min="47" max="16384" width="11.42578125" style="294"/>
  </cols>
  <sheetData>
    <row r="1" spans="1:19" ht="66" customHeight="1" x14ac:dyDescent="0.25">
      <c r="A1" s="2277"/>
      <c r="B1" s="2073" t="s">
        <v>1691</v>
      </c>
      <c r="C1" s="2073"/>
      <c r="D1" s="2073"/>
      <c r="E1" s="2073"/>
      <c r="F1" s="2073"/>
      <c r="G1" s="2073"/>
      <c r="H1" s="2073"/>
      <c r="I1" s="2073"/>
      <c r="J1" s="2073"/>
      <c r="K1" s="2073"/>
      <c r="L1" s="2073"/>
      <c r="M1" s="2073"/>
      <c r="N1" s="2073"/>
      <c r="O1" s="2073"/>
      <c r="P1" s="2073"/>
      <c r="Q1" s="2073"/>
      <c r="R1" s="2073"/>
      <c r="S1" s="2273" t="s">
        <v>1937</v>
      </c>
    </row>
    <row r="2" spans="1:19" ht="42.75" customHeight="1" x14ac:dyDescent="0.25">
      <c r="A2" s="2277"/>
      <c r="B2" s="2073"/>
      <c r="C2" s="2073"/>
      <c r="D2" s="2073"/>
      <c r="E2" s="2073"/>
      <c r="F2" s="2073"/>
      <c r="G2" s="2073"/>
      <c r="H2" s="2073"/>
      <c r="I2" s="2073"/>
      <c r="J2" s="2073"/>
      <c r="K2" s="2073"/>
      <c r="L2" s="2073"/>
      <c r="M2" s="2073"/>
      <c r="N2" s="2073"/>
      <c r="O2" s="2073"/>
      <c r="P2" s="2073"/>
      <c r="Q2" s="2073"/>
      <c r="R2" s="2073"/>
      <c r="S2" s="2273"/>
    </row>
    <row r="3" spans="1:19" x14ac:dyDescent="0.25">
      <c r="A3" s="1234"/>
      <c r="B3" s="1234"/>
      <c r="C3" s="1234"/>
      <c r="D3" s="1234"/>
      <c r="E3" s="1234"/>
      <c r="F3" s="1234"/>
      <c r="G3" s="1234"/>
      <c r="H3" s="303"/>
      <c r="I3" s="303"/>
      <c r="J3" s="303"/>
      <c r="K3" s="303"/>
      <c r="L3" s="303"/>
      <c r="M3" s="303"/>
      <c r="N3" s="303"/>
      <c r="O3" s="303"/>
      <c r="P3" s="303"/>
      <c r="Q3" s="303"/>
      <c r="R3" s="303"/>
      <c r="S3" s="303"/>
    </row>
    <row r="4" spans="1:19" ht="18" x14ac:dyDescent="0.25">
      <c r="A4" s="2276" t="s">
        <v>1641</v>
      </c>
      <c r="B4" s="2276"/>
      <c r="C4" s="2276"/>
      <c r="D4" s="2276"/>
      <c r="E4" s="2276"/>
      <c r="F4" s="2276"/>
      <c r="G4" s="2276"/>
      <c r="H4" s="706"/>
      <c r="I4" s="706"/>
      <c r="J4" s="706"/>
      <c r="K4" s="706"/>
      <c r="L4" s="706"/>
      <c r="M4" s="706"/>
      <c r="N4" s="706"/>
      <c r="O4" s="706"/>
      <c r="P4" s="706"/>
      <c r="Q4" s="706"/>
      <c r="R4" s="706"/>
      <c r="S4" s="706"/>
    </row>
    <row r="5" spans="1:19" ht="18" x14ac:dyDescent="0.25">
      <c r="A5" s="2276" t="s">
        <v>1618</v>
      </c>
      <c r="B5" s="2276"/>
      <c r="C5" s="2276"/>
      <c r="D5" s="2276"/>
      <c r="E5" s="2276"/>
      <c r="F5" s="2276"/>
      <c r="G5" s="2276"/>
      <c r="H5" s="706"/>
      <c r="I5" s="706"/>
      <c r="J5" s="706"/>
      <c r="K5" s="706"/>
      <c r="L5" s="706"/>
      <c r="M5" s="706"/>
      <c r="N5" s="706"/>
      <c r="O5" s="706"/>
      <c r="P5" s="706"/>
      <c r="Q5" s="706"/>
      <c r="R5" s="706"/>
      <c r="S5" s="706"/>
    </row>
    <row r="6" spans="1:19" ht="18" x14ac:dyDescent="0.25">
      <c r="A6" s="253"/>
      <c r="B6" s="253"/>
      <c r="C6" s="253"/>
      <c r="D6" s="253"/>
      <c r="E6" s="253"/>
      <c r="F6" s="253"/>
      <c r="G6" s="253"/>
      <c r="H6" s="253"/>
      <c r="I6" s="253"/>
      <c r="J6" s="253"/>
      <c r="K6" s="253"/>
      <c r="L6" s="253"/>
      <c r="M6" s="253"/>
      <c r="N6" s="253"/>
      <c r="O6" s="253"/>
      <c r="P6" s="253"/>
      <c r="Q6" s="253"/>
      <c r="R6" s="253"/>
      <c r="S6" s="253"/>
    </row>
    <row r="7" spans="1:19" ht="18" x14ac:dyDescent="0.25">
      <c r="A7" s="1229" t="s">
        <v>0</v>
      </c>
      <c r="B7" s="1756" t="str">
        <f>+FENECIMIENTO!D4</f>
        <v xml:space="preserve">150000 - DIRECCIÓN SECTOR HACIENDA </v>
      </c>
      <c r="C7" s="1756"/>
      <c r="D7" s="873"/>
      <c r="E7" s="605"/>
      <c r="F7" s="605"/>
      <c r="G7" s="605"/>
      <c r="H7" s="605"/>
      <c r="I7" s="303"/>
      <c r="J7" s="303"/>
      <c r="K7" s="303"/>
      <c r="L7" s="303"/>
      <c r="M7" s="303"/>
      <c r="N7" s="303"/>
      <c r="O7" s="303"/>
      <c r="P7" s="303"/>
      <c r="Q7" s="759"/>
      <c r="R7" s="759"/>
    </row>
    <row r="8" spans="1:19" ht="34.9" customHeight="1" x14ac:dyDescent="0.25">
      <c r="A8" s="1230" t="s">
        <v>1188</v>
      </c>
      <c r="B8" s="2274" t="str">
        <f>+FENECIMIENTO!D5</f>
        <v xml:space="preserve">206 - Fondo de Prestaciones Económicas, Cesantías y Pensiones – FONCEP </v>
      </c>
      <c r="C8" s="2275"/>
      <c r="D8" s="605"/>
      <c r="E8" s="1229" t="s">
        <v>2</v>
      </c>
      <c r="F8" s="1756">
        <f>+FENECIMIENTO!K5</f>
        <v>2024</v>
      </c>
      <c r="G8" s="1756"/>
      <c r="H8" s="606"/>
      <c r="I8" s="712"/>
      <c r="J8" s="712"/>
      <c r="K8" s="712"/>
      <c r="L8" s="712"/>
      <c r="M8" s="712"/>
      <c r="N8" s="712"/>
      <c r="O8" s="712"/>
      <c r="P8" s="712"/>
      <c r="Q8" s="874"/>
      <c r="R8" s="874"/>
    </row>
    <row r="9" spans="1:19" ht="15" x14ac:dyDescent="0.25">
      <c r="A9" s="1229" t="s">
        <v>1683</v>
      </c>
      <c r="B9" s="2100">
        <f>+FENECIMIENTO!D6</f>
        <v>2025</v>
      </c>
      <c r="C9" s="2100"/>
      <c r="D9" s="605"/>
      <c r="E9" s="1229" t="s">
        <v>3</v>
      </c>
      <c r="F9" s="2100">
        <f>+FENECIMIENTO!K6</f>
        <v>87</v>
      </c>
      <c r="G9" s="2100"/>
      <c r="H9" s="606"/>
      <c r="I9" s="712"/>
      <c r="J9" s="712"/>
      <c r="K9" s="712"/>
      <c r="L9" s="712"/>
      <c r="M9" s="712"/>
      <c r="N9" s="712"/>
      <c r="O9" s="759"/>
      <c r="P9" s="759"/>
      <c r="Q9" s="874"/>
      <c r="R9" s="874"/>
    </row>
    <row r="10" spans="1:19" ht="15" x14ac:dyDescent="0.25">
      <c r="A10" s="1229" t="s">
        <v>4</v>
      </c>
      <c r="B10" s="2101">
        <f>+FENECIMIENTO!D7</f>
        <v>45693</v>
      </c>
      <c r="C10" s="2100"/>
      <c r="D10" s="605"/>
      <c r="E10" s="1229" t="s">
        <v>1189</v>
      </c>
      <c r="F10" s="2101">
        <f>+FENECIMIENTO!K7</f>
        <v>45693</v>
      </c>
      <c r="G10" s="2100"/>
      <c r="H10" s="606"/>
      <c r="I10" s="712"/>
      <c r="J10" s="712"/>
      <c r="K10" s="712"/>
      <c r="L10" s="712"/>
      <c r="M10" s="712"/>
      <c r="N10" s="712"/>
      <c r="O10" s="712"/>
      <c r="P10" s="712"/>
      <c r="Q10" s="874"/>
      <c r="R10" s="874"/>
    </row>
    <row r="11" spans="1:19" ht="15" x14ac:dyDescent="0.25">
      <c r="A11" s="1229"/>
      <c r="B11" s="1136"/>
      <c r="C11" s="605"/>
      <c r="D11" s="605"/>
      <c r="E11" s="1229"/>
      <c r="F11" s="1228"/>
      <c r="G11" s="1228"/>
      <c r="H11" s="606"/>
      <c r="I11" s="712"/>
      <c r="J11" s="712"/>
      <c r="K11" s="712"/>
      <c r="L11" s="712"/>
      <c r="M11" s="712"/>
      <c r="N11" s="712"/>
      <c r="O11" s="712"/>
      <c r="P11" s="712"/>
      <c r="Q11" s="874"/>
      <c r="R11" s="874"/>
    </row>
    <row r="12" spans="1:19" ht="15.75" thickBot="1" x14ac:dyDescent="0.3">
      <c r="A12" s="710"/>
      <c r="B12" s="707"/>
      <c r="E12" s="711"/>
      <c r="F12" s="712"/>
      <c r="G12" s="712"/>
      <c r="H12" s="606"/>
      <c r="I12" s="712"/>
      <c r="J12" s="712"/>
      <c r="K12" s="712"/>
      <c r="L12" s="712"/>
      <c r="M12" s="712"/>
      <c r="N12" s="712"/>
      <c r="O12" s="712"/>
      <c r="P12" s="712"/>
      <c r="Q12" s="874"/>
      <c r="R12" s="874"/>
    </row>
    <row r="13" spans="1:19" ht="15" x14ac:dyDescent="0.25">
      <c r="A13" s="2263" t="s">
        <v>1562</v>
      </c>
      <c r="B13" s="2264"/>
      <c r="C13" s="2255" t="s">
        <v>1563</v>
      </c>
      <c r="D13" s="2255"/>
      <c r="E13" s="2255"/>
      <c r="F13" s="2255"/>
      <c r="G13" s="2255"/>
      <c r="H13" s="2255"/>
      <c r="I13" s="2255"/>
      <c r="J13" s="2257" t="s">
        <v>1564</v>
      </c>
      <c r="K13" s="2255"/>
      <c r="L13" s="2255"/>
      <c r="M13" s="2255"/>
      <c r="N13" s="2255"/>
      <c r="O13" s="2255"/>
      <c r="P13" s="2255"/>
      <c r="Q13" s="2255"/>
      <c r="R13" s="2255"/>
      <c r="S13" s="875"/>
    </row>
    <row r="14" spans="1:19" ht="15" thickBot="1" x14ac:dyDescent="0.3">
      <c r="A14" s="2253"/>
      <c r="B14" s="2254"/>
      <c r="C14" s="2256"/>
      <c r="D14" s="2256"/>
      <c r="E14" s="2256"/>
      <c r="F14" s="2256"/>
      <c r="G14" s="2256"/>
      <c r="H14" s="2256"/>
      <c r="I14" s="2256"/>
      <c r="J14" s="2259"/>
      <c r="K14" s="2256"/>
      <c r="L14" s="2256"/>
      <c r="M14" s="2256"/>
      <c r="N14" s="2256"/>
      <c r="O14" s="2256"/>
      <c r="P14" s="2256"/>
      <c r="Q14" s="2256"/>
      <c r="R14" s="2256"/>
      <c r="S14" s="876" t="s">
        <v>1565</v>
      </c>
    </row>
    <row r="15" spans="1:19" ht="65.25" customHeight="1" x14ac:dyDescent="0.25">
      <c r="A15" s="2249" t="s">
        <v>302</v>
      </c>
      <c r="B15" s="2240" t="s">
        <v>1566</v>
      </c>
      <c r="C15" s="2249" t="s">
        <v>1567</v>
      </c>
      <c r="D15" s="2238" t="s">
        <v>1568</v>
      </c>
      <c r="E15" s="2238" t="s">
        <v>1569</v>
      </c>
      <c r="F15" s="2238" t="s">
        <v>1570</v>
      </c>
      <c r="G15" s="2238" t="s">
        <v>1571</v>
      </c>
      <c r="H15" s="2238" t="s">
        <v>1572</v>
      </c>
      <c r="I15" s="2240" t="s">
        <v>1573</v>
      </c>
      <c r="J15" s="2249" t="s">
        <v>1574</v>
      </c>
      <c r="K15" s="2238" t="s">
        <v>1575</v>
      </c>
      <c r="L15" s="2238"/>
      <c r="M15" s="2238" t="s">
        <v>1576</v>
      </c>
      <c r="N15" s="2238" t="s">
        <v>1577</v>
      </c>
      <c r="O15" s="2278" t="s">
        <v>1578</v>
      </c>
      <c r="P15" s="2279"/>
      <c r="Q15" s="2280"/>
      <c r="R15" s="2238" t="s">
        <v>1579</v>
      </c>
      <c r="S15" s="2240" t="s">
        <v>1580</v>
      </c>
    </row>
    <row r="16" spans="1:19" ht="23.25" customHeight="1" thickBot="1" x14ac:dyDescent="0.3">
      <c r="A16" s="2250"/>
      <c r="B16" s="2241"/>
      <c r="C16" s="2250"/>
      <c r="D16" s="2239"/>
      <c r="E16" s="2239"/>
      <c r="F16" s="2239"/>
      <c r="G16" s="2239"/>
      <c r="H16" s="2239"/>
      <c r="I16" s="2241"/>
      <c r="J16" s="2250"/>
      <c r="K16" s="877" t="s">
        <v>1581</v>
      </c>
      <c r="L16" s="877" t="s">
        <v>1582</v>
      </c>
      <c r="M16" s="2239"/>
      <c r="N16" s="2239"/>
      <c r="O16" s="2281"/>
      <c r="P16" s="2282"/>
      <c r="Q16" s="2283"/>
      <c r="R16" s="2239"/>
      <c r="S16" s="2241"/>
    </row>
    <row r="17" spans="1:46" s="606" customFormat="1" ht="16.5" customHeight="1" x14ac:dyDescent="0.25">
      <c r="A17" s="2270"/>
      <c r="B17" s="2271"/>
      <c r="C17" s="2271"/>
      <c r="D17" s="2271"/>
      <c r="E17" s="2271"/>
      <c r="F17" s="2271"/>
      <c r="G17" s="2271"/>
      <c r="H17" s="2271"/>
      <c r="I17" s="2271"/>
      <c r="J17" s="2271"/>
      <c r="K17" s="2271"/>
      <c r="L17" s="2271"/>
      <c r="M17" s="2271"/>
      <c r="N17" s="2271"/>
      <c r="O17" s="2271"/>
      <c r="P17" s="2271"/>
      <c r="Q17" s="2271"/>
      <c r="R17" s="2271"/>
      <c r="S17" s="2272"/>
    </row>
    <row r="18" spans="1:46" s="1674" customFormat="1" ht="15" x14ac:dyDescent="0.25">
      <c r="A18" s="1670">
        <v>41</v>
      </c>
      <c r="B18" s="1671" t="s">
        <v>470</v>
      </c>
      <c r="C18" s="1315">
        <v>10000000000</v>
      </c>
      <c r="D18" s="1672">
        <f>IF(C18="","",C18/$C$18)</f>
        <v>1</v>
      </c>
      <c r="E18" s="1315">
        <v>12000000000</v>
      </c>
      <c r="F18" s="1672">
        <f>IF(E18="","",E18/$E$18)</f>
        <v>1</v>
      </c>
      <c r="G18" s="1673">
        <f>IF(AND(C18="",E18=""),"",E18-C18)</f>
        <v>2000000000</v>
      </c>
      <c r="H18" s="1672">
        <f>IF(E18="",G18/C18,G18/E18)</f>
        <v>0.16666666666666666</v>
      </c>
      <c r="I18" s="1665"/>
      <c r="J18" s="1315">
        <v>12000000000</v>
      </c>
      <c r="K18" s="1315"/>
      <c r="L18" s="1315"/>
      <c r="M18" s="1673">
        <f>IF(J18="","",J18-K18+L18)</f>
        <v>12000000000</v>
      </c>
      <c r="N18" s="1315">
        <v>12000000000</v>
      </c>
      <c r="O18" s="2268">
        <f>IF(OR(E18="",N18=""),"",N18/E18)</f>
        <v>1</v>
      </c>
      <c r="P18" s="2268"/>
      <c r="Q18" s="2268"/>
      <c r="R18" s="1664" t="s">
        <v>487</v>
      </c>
      <c r="S18" s="1320"/>
      <c r="AT18" s="1675" t="str">
        <f t="shared" ref="AT18:AT44" si="0">CONCATENATE(A18,"-",B18)</f>
        <v>41-INGRESOS</v>
      </c>
    </row>
    <row r="19" spans="1:46" s="1674" customFormat="1" ht="15" x14ac:dyDescent="0.25">
      <c r="A19" s="1670">
        <v>410</v>
      </c>
      <c r="B19" s="1671" t="s">
        <v>1356</v>
      </c>
      <c r="C19" s="1315">
        <v>2000000</v>
      </c>
      <c r="D19" s="1672">
        <f t="shared" ref="D19:D43" si="1">IF(C19="","",C19/$C$18)</f>
        <v>2.0000000000000001E-4</v>
      </c>
      <c r="E19" s="1315">
        <v>200000</v>
      </c>
      <c r="F19" s="1672">
        <f t="shared" ref="F19:F43" si="2">IF(E19="","",E19/$E$18)</f>
        <v>1.6666666666666667E-5</v>
      </c>
      <c r="G19" s="1673">
        <f t="shared" ref="G19:G43" si="3">IF(AND(C19="",E19=""),"",E19-C19)</f>
        <v>-1800000</v>
      </c>
      <c r="H19" s="1672">
        <f t="shared" ref="H19:H43" si="4">IF(E19="",G19/C19,G19/E19)</f>
        <v>-9</v>
      </c>
      <c r="I19" s="1665"/>
      <c r="J19" s="1315">
        <v>200000</v>
      </c>
      <c r="K19" s="1315"/>
      <c r="L19" s="1315"/>
      <c r="M19" s="1673">
        <f t="shared" ref="M19:M43" si="5">IF(J19="","",J19-K19+L19)</f>
        <v>200000</v>
      </c>
      <c r="N19" s="1315">
        <v>200000</v>
      </c>
      <c r="O19" s="2268">
        <f t="shared" ref="O19:O44" si="6">IF(OR(E19="",N19=""),"",N19/E19)</f>
        <v>1</v>
      </c>
      <c r="P19" s="2268"/>
      <c r="Q19" s="2268"/>
      <c r="R19" s="1664"/>
      <c r="S19" s="1320"/>
      <c r="AT19" s="1675" t="str">
        <f t="shared" si="0"/>
        <v>410-DISPONIBILIDAD INICIAL</v>
      </c>
    </row>
    <row r="20" spans="1:46" s="606" customFormat="1" ht="15" x14ac:dyDescent="0.25">
      <c r="A20" s="1676">
        <v>41002</v>
      </c>
      <c r="B20" s="1677" t="s">
        <v>1360</v>
      </c>
      <c r="C20" s="1316">
        <v>3000000</v>
      </c>
      <c r="D20" s="1678">
        <f t="shared" si="1"/>
        <v>2.9999999999999997E-4</v>
      </c>
      <c r="E20" s="1316">
        <v>5000000</v>
      </c>
      <c r="F20" s="1678">
        <f t="shared" si="2"/>
        <v>4.1666666666666669E-4</v>
      </c>
      <c r="G20" s="1679">
        <f t="shared" si="3"/>
        <v>2000000</v>
      </c>
      <c r="H20" s="1678">
        <f t="shared" si="4"/>
        <v>0.4</v>
      </c>
      <c r="I20" s="1319"/>
      <c r="J20" s="1316">
        <v>5000000</v>
      </c>
      <c r="K20" s="1316"/>
      <c r="L20" s="1316"/>
      <c r="M20" s="1679">
        <f t="shared" si="5"/>
        <v>5000000</v>
      </c>
      <c r="N20" s="1316">
        <v>5000000</v>
      </c>
      <c r="O20" s="2269">
        <f t="shared" si="6"/>
        <v>1</v>
      </c>
      <c r="P20" s="2269"/>
      <c r="Q20" s="2269"/>
      <c r="R20" s="1664"/>
      <c r="S20" s="1321"/>
      <c r="AT20" s="1680" t="str">
        <f t="shared" si="0"/>
        <v>41002-Bancos</v>
      </c>
    </row>
    <row r="21" spans="1:46" s="606" customFormat="1" ht="15" x14ac:dyDescent="0.25">
      <c r="A21" s="1676">
        <v>41003</v>
      </c>
      <c r="B21" s="1677" t="s">
        <v>1364</v>
      </c>
      <c r="C21" s="1316">
        <v>120000</v>
      </c>
      <c r="D21" s="1678">
        <f t="shared" si="1"/>
        <v>1.2E-5</v>
      </c>
      <c r="E21" s="1316">
        <v>120000</v>
      </c>
      <c r="F21" s="1678">
        <f t="shared" si="2"/>
        <v>1.0000000000000001E-5</v>
      </c>
      <c r="G21" s="1679">
        <f t="shared" si="3"/>
        <v>0</v>
      </c>
      <c r="H21" s="1678">
        <f t="shared" si="4"/>
        <v>0</v>
      </c>
      <c r="I21" s="1319"/>
      <c r="J21" s="1316">
        <v>120000</v>
      </c>
      <c r="K21" s="1316"/>
      <c r="L21" s="1316"/>
      <c r="M21" s="1679">
        <f t="shared" si="5"/>
        <v>120000</v>
      </c>
      <c r="N21" s="1316">
        <v>120000</v>
      </c>
      <c r="O21" s="2269">
        <f t="shared" si="6"/>
        <v>1</v>
      </c>
      <c r="P21" s="2269"/>
      <c r="Q21" s="2269"/>
      <c r="R21" s="1664" t="s">
        <v>1643</v>
      </c>
      <c r="S21" s="1321"/>
      <c r="AT21" s="1680" t="str">
        <f t="shared" si="0"/>
        <v>41003-Inversiones Temporales</v>
      </c>
    </row>
    <row r="22" spans="1:46" s="1674" customFormat="1" ht="15" x14ac:dyDescent="0.25">
      <c r="A22" s="1670">
        <v>411</v>
      </c>
      <c r="B22" s="1671" t="s">
        <v>1368</v>
      </c>
      <c r="C22" s="1315">
        <v>2000000</v>
      </c>
      <c r="D22" s="1672">
        <f t="shared" si="1"/>
        <v>2.0000000000000001E-4</v>
      </c>
      <c r="E22" s="1315">
        <v>2000000</v>
      </c>
      <c r="F22" s="1672">
        <f t="shared" si="2"/>
        <v>1.6666666666666666E-4</v>
      </c>
      <c r="G22" s="1673">
        <f t="shared" si="3"/>
        <v>0</v>
      </c>
      <c r="H22" s="1672">
        <f t="shared" si="4"/>
        <v>0</v>
      </c>
      <c r="I22" s="1665"/>
      <c r="J22" s="1315">
        <v>2000000</v>
      </c>
      <c r="K22" s="1315"/>
      <c r="L22" s="1315"/>
      <c r="M22" s="1673">
        <f t="shared" si="5"/>
        <v>2000000</v>
      </c>
      <c r="N22" s="1315">
        <v>2000000</v>
      </c>
      <c r="O22" s="2268">
        <f t="shared" si="6"/>
        <v>1</v>
      </c>
      <c r="P22" s="2268"/>
      <c r="Q22" s="2268"/>
      <c r="R22" s="1664"/>
      <c r="S22" s="1320"/>
      <c r="AT22" s="1675" t="str">
        <f t="shared" si="0"/>
        <v>411-INGRESOS CORRIENTES</v>
      </c>
    </row>
    <row r="23" spans="1:46" s="606" customFormat="1" ht="15" x14ac:dyDescent="0.25">
      <c r="A23" s="1676">
        <v>41101</v>
      </c>
      <c r="B23" s="1677" t="s">
        <v>1372</v>
      </c>
      <c r="C23" s="1316">
        <v>1200000</v>
      </c>
      <c r="D23" s="1678">
        <f t="shared" si="1"/>
        <v>1.2E-4</v>
      </c>
      <c r="E23" s="1316">
        <v>12000</v>
      </c>
      <c r="F23" s="1678">
        <f t="shared" si="2"/>
        <v>9.9999999999999995E-7</v>
      </c>
      <c r="G23" s="1679">
        <f t="shared" si="3"/>
        <v>-1188000</v>
      </c>
      <c r="H23" s="1678">
        <f t="shared" si="4"/>
        <v>-99</v>
      </c>
      <c r="I23" s="1319"/>
      <c r="J23" s="1316">
        <v>12000</v>
      </c>
      <c r="K23" s="1316"/>
      <c r="L23" s="1316"/>
      <c r="M23" s="1679">
        <f t="shared" si="5"/>
        <v>12000</v>
      </c>
      <c r="N23" s="1316">
        <v>12000</v>
      </c>
      <c r="O23" s="2269">
        <f t="shared" si="6"/>
        <v>1</v>
      </c>
      <c r="P23" s="2269"/>
      <c r="Q23" s="2269"/>
      <c r="R23" s="1664"/>
      <c r="S23" s="1321"/>
      <c r="AT23" s="1680" t="str">
        <f t="shared" si="0"/>
        <v>41101-Tributarios</v>
      </c>
    </row>
    <row r="24" spans="1:46" s="606" customFormat="1" ht="15" x14ac:dyDescent="0.25">
      <c r="A24" s="1676">
        <v>41102</v>
      </c>
      <c r="B24" s="1677" t="s">
        <v>1378</v>
      </c>
      <c r="C24" s="1316">
        <v>1200000</v>
      </c>
      <c r="D24" s="1678">
        <f t="shared" si="1"/>
        <v>1.2E-4</v>
      </c>
      <c r="E24" s="1316">
        <v>12000</v>
      </c>
      <c r="F24" s="1678">
        <f t="shared" si="2"/>
        <v>9.9999999999999995E-7</v>
      </c>
      <c r="G24" s="1679">
        <f t="shared" si="3"/>
        <v>-1188000</v>
      </c>
      <c r="H24" s="1678">
        <f t="shared" si="4"/>
        <v>-99</v>
      </c>
      <c r="I24" s="1319"/>
      <c r="J24" s="1316">
        <v>12000</v>
      </c>
      <c r="K24" s="1316"/>
      <c r="L24" s="1316"/>
      <c r="M24" s="1679">
        <f t="shared" si="5"/>
        <v>12000</v>
      </c>
      <c r="N24" s="1316">
        <v>12000</v>
      </c>
      <c r="O24" s="2269">
        <f t="shared" si="6"/>
        <v>1</v>
      </c>
      <c r="P24" s="2269"/>
      <c r="Q24" s="2269"/>
      <c r="R24" s="1664"/>
      <c r="S24" s="1321"/>
      <c r="AT24" s="1680" t="str">
        <f t="shared" si="0"/>
        <v>41102-No Tributarios</v>
      </c>
    </row>
    <row r="25" spans="1:46" s="1674" customFormat="1" ht="15" x14ac:dyDescent="0.25">
      <c r="A25" s="1670">
        <v>412</v>
      </c>
      <c r="B25" s="1671" t="s">
        <v>1383</v>
      </c>
      <c r="C25" s="1315">
        <v>1200000</v>
      </c>
      <c r="D25" s="1672">
        <f t="shared" si="1"/>
        <v>1.2E-4</v>
      </c>
      <c r="E25" s="1315">
        <v>12000</v>
      </c>
      <c r="F25" s="1672">
        <f t="shared" si="2"/>
        <v>9.9999999999999995E-7</v>
      </c>
      <c r="G25" s="1673">
        <f t="shared" si="3"/>
        <v>-1188000</v>
      </c>
      <c r="H25" s="1672">
        <f t="shared" si="4"/>
        <v>-99</v>
      </c>
      <c r="I25" s="1665"/>
      <c r="J25" s="1315">
        <v>12000</v>
      </c>
      <c r="K25" s="1315"/>
      <c r="L25" s="1315"/>
      <c r="M25" s="1673">
        <f t="shared" si="5"/>
        <v>12000</v>
      </c>
      <c r="N25" s="1315">
        <v>12000</v>
      </c>
      <c r="O25" s="2268">
        <f t="shared" si="6"/>
        <v>1</v>
      </c>
      <c r="P25" s="2268"/>
      <c r="Q25" s="2268"/>
      <c r="R25" s="1664"/>
      <c r="S25" s="1320"/>
      <c r="AT25" s="1675" t="str">
        <f t="shared" si="0"/>
        <v>412-RECURSOS DE CAPITAL</v>
      </c>
    </row>
    <row r="26" spans="1:46" s="606" customFormat="1" ht="15" x14ac:dyDescent="0.25">
      <c r="A26" s="1676">
        <v>41201</v>
      </c>
      <c r="B26" s="1677" t="s">
        <v>1388</v>
      </c>
      <c r="C26" s="1316">
        <v>1200000</v>
      </c>
      <c r="D26" s="1678">
        <f t="shared" si="1"/>
        <v>1.2E-4</v>
      </c>
      <c r="E26" s="1316">
        <v>14000</v>
      </c>
      <c r="F26" s="1678">
        <f t="shared" si="2"/>
        <v>1.1666666666666666E-6</v>
      </c>
      <c r="G26" s="1679">
        <f t="shared" si="3"/>
        <v>-1186000</v>
      </c>
      <c r="H26" s="1678">
        <f t="shared" si="4"/>
        <v>-84.714285714285708</v>
      </c>
      <c r="I26" s="1319"/>
      <c r="J26" s="1316">
        <v>14000</v>
      </c>
      <c r="K26" s="1316"/>
      <c r="L26" s="1316"/>
      <c r="M26" s="1679">
        <f t="shared" si="5"/>
        <v>14000</v>
      </c>
      <c r="N26" s="1316">
        <v>14000</v>
      </c>
      <c r="O26" s="2269">
        <f t="shared" si="6"/>
        <v>1</v>
      </c>
      <c r="P26" s="2269"/>
      <c r="Q26" s="2269"/>
      <c r="R26" s="1664"/>
      <c r="S26" s="1321"/>
      <c r="AT26" s="1680" t="str">
        <f t="shared" si="0"/>
        <v>41201-Disposición de activos</v>
      </c>
    </row>
    <row r="27" spans="1:46" s="606" customFormat="1" ht="15" x14ac:dyDescent="0.25">
      <c r="A27" s="1676">
        <v>41202</v>
      </c>
      <c r="B27" s="1677" t="s">
        <v>1392</v>
      </c>
      <c r="C27" s="1316">
        <v>1200000</v>
      </c>
      <c r="D27" s="1678">
        <f t="shared" si="1"/>
        <v>1.2E-4</v>
      </c>
      <c r="E27" s="1316">
        <v>14000</v>
      </c>
      <c r="F27" s="1678">
        <f t="shared" si="2"/>
        <v>1.1666666666666666E-6</v>
      </c>
      <c r="G27" s="1679">
        <f t="shared" si="3"/>
        <v>-1186000</v>
      </c>
      <c r="H27" s="1678">
        <f t="shared" si="4"/>
        <v>-84.714285714285708</v>
      </c>
      <c r="I27" s="1319"/>
      <c r="J27" s="1316">
        <v>14000</v>
      </c>
      <c r="K27" s="1316"/>
      <c r="L27" s="1316"/>
      <c r="M27" s="1679">
        <f t="shared" si="5"/>
        <v>14000</v>
      </c>
      <c r="N27" s="1316">
        <v>14000</v>
      </c>
      <c r="O27" s="2269">
        <f t="shared" si="6"/>
        <v>1</v>
      </c>
      <c r="P27" s="2269"/>
      <c r="Q27" s="2269"/>
      <c r="R27" s="1664"/>
      <c r="S27" s="1321"/>
      <c r="AT27" s="1680" t="str">
        <f t="shared" si="0"/>
        <v>41202-Excedentes financieros</v>
      </c>
    </row>
    <row r="28" spans="1:46" s="606" customFormat="1" ht="13.5" customHeight="1" x14ac:dyDescent="0.25">
      <c r="A28" s="1676">
        <v>41203</v>
      </c>
      <c r="B28" s="1677" t="s">
        <v>1397</v>
      </c>
      <c r="C28" s="1316">
        <v>1200000</v>
      </c>
      <c r="D28" s="1678">
        <f t="shared" si="1"/>
        <v>1.2E-4</v>
      </c>
      <c r="E28" s="1316">
        <v>14000</v>
      </c>
      <c r="F28" s="1678">
        <f t="shared" si="2"/>
        <v>1.1666666666666666E-6</v>
      </c>
      <c r="G28" s="1679">
        <f t="shared" si="3"/>
        <v>-1186000</v>
      </c>
      <c r="H28" s="1678">
        <f t="shared" si="4"/>
        <v>-84.714285714285708</v>
      </c>
      <c r="I28" s="1319"/>
      <c r="J28" s="1316">
        <v>14000</v>
      </c>
      <c r="K28" s="1316"/>
      <c r="L28" s="1316"/>
      <c r="M28" s="1679">
        <f t="shared" si="5"/>
        <v>14000</v>
      </c>
      <c r="N28" s="1316">
        <v>14000</v>
      </c>
      <c r="O28" s="2269">
        <f t="shared" si="6"/>
        <v>1</v>
      </c>
      <c r="P28" s="2269"/>
      <c r="Q28" s="2269"/>
      <c r="R28" s="1664"/>
      <c r="S28" s="1321"/>
      <c r="AT28" s="1680" t="str">
        <f t="shared" si="0"/>
        <v>41203-Dividendos y utilidades por otras Inversiones de CAPITAL</v>
      </c>
    </row>
    <row r="29" spans="1:46" s="606" customFormat="1" ht="15" x14ac:dyDescent="0.25">
      <c r="A29" s="1676">
        <v>41205</v>
      </c>
      <c r="B29" s="1677" t="s">
        <v>1401</v>
      </c>
      <c r="C29" s="1316">
        <v>1200000</v>
      </c>
      <c r="D29" s="1678">
        <f t="shared" si="1"/>
        <v>1.2E-4</v>
      </c>
      <c r="E29" s="1316">
        <v>14000</v>
      </c>
      <c r="F29" s="1678">
        <f t="shared" si="2"/>
        <v>1.1666666666666666E-6</v>
      </c>
      <c r="G29" s="1679">
        <f t="shared" si="3"/>
        <v>-1186000</v>
      </c>
      <c r="H29" s="1678">
        <f t="shared" si="4"/>
        <v>-84.714285714285708</v>
      </c>
      <c r="I29" s="1319"/>
      <c r="J29" s="1316">
        <v>14000</v>
      </c>
      <c r="K29" s="1316"/>
      <c r="L29" s="1316"/>
      <c r="M29" s="1679">
        <f t="shared" si="5"/>
        <v>14000</v>
      </c>
      <c r="N29" s="1316">
        <v>14000</v>
      </c>
      <c r="O29" s="2269">
        <f t="shared" si="6"/>
        <v>1</v>
      </c>
      <c r="P29" s="2269"/>
      <c r="Q29" s="2269"/>
      <c r="R29" s="1664"/>
      <c r="S29" s="1321"/>
      <c r="AT29" s="1680" t="str">
        <f t="shared" si="0"/>
        <v>41205-Rendimientos financieros</v>
      </c>
    </row>
    <row r="30" spans="1:46" s="606" customFormat="1" ht="15" x14ac:dyDescent="0.25">
      <c r="A30" s="1676">
        <v>41206</v>
      </c>
      <c r="B30" s="1677" t="s">
        <v>1405</v>
      </c>
      <c r="C30" s="1316">
        <v>1200000</v>
      </c>
      <c r="D30" s="1678">
        <f t="shared" si="1"/>
        <v>1.2E-4</v>
      </c>
      <c r="E30" s="1316">
        <v>14000</v>
      </c>
      <c r="F30" s="1678">
        <f t="shared" si="2"/>
        <v>1.1666666666666666E-6</v>
      </c>
      <c r="G30" s="1679">
        <f t="shared" si="3"/>
        <v>-1186000</v>
      </c>
      <c r="H30" s="1678">
        <f t="shared" si="4"/>
        <v>-84.714285714285708</v>
      </c>
      <c r="I30" s="1319"/>
      <c r="J30" s="1316">
        <v>14000</v>
      </c>
      <c r="K30" s="1316"/>
      <c r="L30" s="1316"/>
      <c r="M30" s="1679">
        <f t="shared" si="5"/>
        <v>14000</v>
      </c>
      <c r="N30" s="1316">
        <v>14000</v>
      </c>
      <c r="O30" s="2269">
        <f t="shared" si="6"/>
        <v>1</v>
      </c>
      <c r="P30" s="2269"/>
      <c r="Q30" s="2269"/>
      <c r="R30" s="1664"/>
      <c r="S30" s="1321"/>
      <c r="AT30" s="1680" t="str">
        <f t="shared" si="0"/>
        <v>41206-RECURSOS de crédito externo</v>
      </c>
    </row>
    <row r="31" spans="1:46" s="606" customFormat="1" ht="15" x14ac:dyDescent="0.25">
      <c r="A31" s="1676">
        <v>41207</v>
      </c>
      <c r="B31" s="1677" t="s">
        <v>1408</v>
      </c>
      <c r="C31" s="1316">
        <v>1200000</v>
      </c>
      <c r="D31" s="1678">
        <f t="shared" si="1"/>
        <v>1.2E-4</v>
      </c>
      <c r="E31" s="1316">
        <v>14000</v>
      </c>
      <c r="F31" s="1678">
        <f t="shared" si="2"/>
        <v>1.1666666666666666E-6</v>
      </c>
      <c r="G31" s="1679">
        <f t="shared" si="3"/>
        <v>-1186000</v>
      </c>
      <c r="H31" s="1678">
        <f t="shared" si="4"/>
        <v>-84.714285714285708</v>
      </c>
      <c r="I31" s="1319"/>
      <c r="J31" s="1316">
        <v>14000</v>
      </c>
      <c r="K31" s="1316"/>
      <c r="L31" s="1316"/>
      <c r="M31" s="1679">
        <f t="shared" si="5"/>
        <v>14000</v>
      </c>
      <c r="N31" s="1316">
        <v>14000</v>
      </c>
      <c r="O31" s="2269">
        <f t="shared" si="6"/>
        <v>1</v>
      </c>
      <c r="P31" s="2269"/>
      <c r="Q31" s="2269"/>
      <c r="R31" s="1664"/>
      <c r="S31" s="1321"/>
      <c r="AT31" s="1680" t="str">
        <f t="shared" si="0"/>
        <v>41207-RECURSOS de crédito interno</v>
      </c>
    </row>
    <row r="32" spans="1:46" s="606" customFormat="1" ht="15" x14ac:dyDescent="0.25">
      <c r="A32" s="1676">
        <v>41208</v>
      </c>
      <c r="B32" s="1677" t="s">
        <v>1412</v>
      </c>
      <c r="C32" s="1316">
        <v>1200000</v>
      </c>
      <c r="D32" s="1678">
        <f t="shared" si="1"/>
        <v>1.2E-4</v>
      </c>
      <c r="E32" s="1316">
        <v>14000</v>
      </c>
      <c r="F32" s="1678">
        <f t="shared" si="2"/>
        <v>1.1666666666666666E-6</v>
      </c>
      <c r="G32" s="1679">
        <f t="shared" si="3"/>
        <v>-1186000</v>
      </c>
      <c r="H32" s="1678">
        <f t="shared" si="4"/>
        <v>-84.714285714285708</v>
      </c>
      <c r="I32" s="1319"/>
      <c r="J32" s="1316">
        <v>14000</v>
      </c>
      <c r="K32" s="1316"/>
      <c r="L32" s="1316"/>
      <c r="M32" s="1679">
        <f t="shared" si="5"/>
        <v>14000</v>
      </c>
      <c r="N32" s="1316">
        <v>14000</v>
      </c>
      <c r="O32" s="2269">
        <f t="shared" si="6"/>
        <v>1</v>
      </c>
      <c r="P32" s="2269"/>
      <c r="Q32" s="2269"/>
      <c r="R32" s="1664"/>
      <c r="S32" s="1321"/>
      <c r="AT32" s="1680" t="str">
        <f t="shared" si="0"/>
        <v>41208-Transferencias de CAPITAL</v>
      </c>
    </row>
    <row r="33" spans="1:46" s="606" customFormat="1" ht="15" x14ac:dyDescent="0.25">
      <c r="A33" s="1676">
        <v>41209</v>
      </c>
      <c r="B33" s="1677" t="s">
        <v>1416</v>
      </c>
      <c r="C33" s="1316">
        <v>1200000</v>
      </c>
      <c r="D33" s="1678">
        <f t="shared" si="1"/>
        <v>1.2E-4</v>
      </c>
      <c r="E33" s="1316">
        <v>14000</v>
      </c>
      <c r="F33" s="1678">
        <f t="shared" si="2"/>
        <v>1.1666666666666666E-6</v>
      </c>
      <c r="G33" s="1679">
        <f t="shared" si="3"/>
        <v>-1186000</v>
      </c>
      <c r="H33" s="1678">
        <f t="shared" si="4"/>
        <v>-84.714285714285708</v>
      </c>
      <c r="I33" s="1319"/>
      <c r="J33" s="1316">
        <v>14000</v>
      </c>
      <c r="K33" s="1316"/>
      <c r="L33" s="1316"/>
      <c r="M33" s="1679">
        <f t="shared" si="5"/>
        <v>14000</v>
      </c>
      <c r="N33" s="1316">
        <v>14000</v>
      </c>
      <c r="O33" s="2269">
        <f t="shared" si="6"/>
        <v>1</v>
      </c>
      <c r="P33" s="2269"/>
      <c r="Q33" s="2269"/>
      <c r="R33" s="1664"/>
      <c r="S33" s="1321"/>
      <c r="AT33" s="1680" t="str">
        <f t="shared" si="0"/>
        <v>41209-Recuperación de cartera</v>
      </c>
    </row>
    <row r="34" spans="1:46" s="606" customFormat="1" ht="15" x14ac:dyDescent="0.25">
      <c r="A34" s="1676">
        <v>41210</v>
      </c>
      <c r="B34" s="1677" t="s">
        <v>1420</v>
      </c>
      <c r="C34" s="1316">
        <v>1200000</v>
      </c>
      <c r="D34" s="1678">
        <f t="shared" si="1"/>
        <v>1.2E-4</v>
      </c>
      <c r="E34" s="1316">
        <v>14000</v>
      </c>
      <c r="F34" s="1678">
        <f t="shared" si="2"/>
        <v>1.1666666666666666E-6</v>
      </c>
      <c r="G34" s="1679">
        <f t="shared" si="3"/>
        <v>-1186000</v>
      </c>
      <c r="H34" s="1678">
        <f t="shared" si="4"/>
        <v>-84.714285714285708</v>
      </c>
      <c r="I34" s="1319"/>
      <c r="J34" s="1316">
        <v>14000</v>
      </c>
      <c r="K34" s="1316"/>
      <c r="L34" s="1316"/>
      <c r="M34" s="1679">
        <f t="shared" si="5"/>
        <v>14000</v>
      </c>
      <c r="N34" s="1316">
        <v>14000</v>
      </c>
      <c r="O34" s="2269">
        <f t="shared" si="6"/>
        <v>1</v>
      </c>
      <c r="P34" s="2269"/>
      <c r="Q34" s="2269"/>
      <c r="R34" s="1664"/>
      <c r="S34" s="1321"/>
      <c r="AT34" s="1680" t="str">
        <f t="shared" si="0"/>
        <v>41210-RECURSOS del balance</v>
      </c>
    </row>
    <row r="35" spans="1:46" s="606" customFormat="1" ht="15" x14ac:dyDescent="0.25">
      <c r="A35" s="1676">
        <v>41211</v>
      </c>
      <c r="B35" s="1677" t="s">
        <v>1424</v>
      </c>
      <c r="C35" s="1316">
        <v>1200000</v>
      </c>
      <c r="D35" s="1678">
        <f t="shared" si="1"/>
        <v>1.2E-4</v>
      </c>
      <c r="E35" s="1316">
        <v>14000</v>
      </c>
      <c r="F35" s="1678">
        <f t="shared" si="2"/>
        <v>1.1666666666666666E-6</v>
      </c>
      <c r="G35" s="1679">
        <f t="shared" si="3"/>
        <v>-1186000</v>
      </c>
      <c r="H35" s="1678">
        <f t="shared" si="4"/>
        <v>-84.714285714285708</v>
      </c>
      <c r="I35" s="1319"/>
      <c r="J35" s="1316">
        <v>14000</v>
      </c>
      <c r="K35" s="1316"/>
      <c r="L35" s="1316"/>
      <c r="M35" s="1679">
        <f t="shared" si="5"/>
        <v>14000</v>
      </c>
      <c r="N35" s="1316">
        <v>14000</v>
      </c>
      <c r="O35" s="2269">
        <f t="shared" si="6"/>
        <v>1</v>
      </c>
      <c r="P35" s="2269"/>
      <c r="Q35" s="2269"/>
      <c r="R35" s="1664"/>
      <c r="S35" s="1321"/>
      <c r="AT35" s="1680" t="str">
        <f t="shared" si="0"/>
        <v>41211-Diferencial cambiario</v>
      </c>
    </row>
    <row r="36" spans="1:46" s="606" customFormat="1" ht="15" x14ac:dyDescent="0.25">
      <c r="A36" s="1676">
        <v>41212</v>
      </c>
      <c r="B36" s="1677" t="s">
        <v>1427</v>
      </c>
      <c r="C36" s="1316">
        <v>1200000</v>
      </c>
      <c r="D36" s="1678">
        <f t="shared" si="1"/>
        <v>1.2E-4</v>
      </c>
      <c r="E36" s="1316">
        <v>14000</v>
      </c>
      <c r="F36" s="1678">
        <f t="shared" si="2"/>
        <v>1.1666666666666666E-6</v>
      </c>
      <c r="G36" s="1679">
        <f t="shared" si="3"/>
        <v>-1186000</v>
      </c>
      <c r="H36" s="1678">
        <f t="shared" si="4"/>
        <v>-84.714285714285708</v>
      </c>
      <c r="I36" s="1319"/>
      <c r="J36" s="1316">
        <v>14000</v>
      </c>
      <c r="K36" s="1316"/>
      <c r="L36" s="1316"/>
      <c r="M36" s="1679">
        <f t="shared" si="5"/>
        <v>14000</v>
      </c>
      <c r="N36" s="1316">
        <v>14000</v>
      </c>
      <c r="O36" s="2269">
        <f t="shared" si="6"/>
        <v>1</v>
      </c>
      <c r="P36" s="2269"/>
      <c r="Q36" s="2269"/>
      <c r="R36" s="1664"/>
      <c r="S36" s="1321"/>
      <c r="AT36" s="1680" t="str">
        <f t="shared" si="0"/>
        <v>41212-Retiros FONPET</v>
      </c>
    </row>
    <row r="37" spans="1:46" s="606" customFormat="1" ht="14.25" customHeight="1" x14ac:dyDescent="0.25">
      <c r="A37" s="1676">
        <v>41213</v>
      </c>
      <c r="B37" s="1677" t="s">
        <v>1429</v>
      </c>
      <c r="C37" s="1316">
        <v>1200000</v>
      </c>
      <c r="D37" s="1678">
        <f t="shared" si="1"/>
        <v>1.2E-4</v>
      </c>
      <c r="E37" s="1316">
        <v>14000</v>
      </c>
      <c r="F37" s="1678">
        <f t="shared" si="2"/>
        <v>1.1666666666666666E-6</v>
      </c>
      <c r="G37" s="1679">
        <f t="shared" si="3"/>
        <v>-1186000</v>
      </c>
      <c r="H37" s="1678">
        <f t="shared" si="4"/>
        <v>-84.714285714285708</v>
      </c>
      <c r="I37" s="1319"/>
      <c r="J37" s="1316">
        <v>14000</v>
      </c>
      <c r="K37" s="1316"/>
      <c r="L37" s="1316"/>
      <c r="M37" s="1679">
        <f t="shared" si="5"/>
        <v>14000</v>
      </c>
      <c r="N37" s="1316">
        <v>14000</v>
      </c>
      <c r="O37" s="2269">
        <f t="shared" si="6"/>
        <v>1</v>
      </c>
      <c r="P37" s="2269"/>
      <c r="Q37" s="2269"/>
      <c r="R37" s="1664"/>
      <c r="S37" s="1321"/>
      <c r="AT37" s="1680" t="str">
        <f t="shared" si="0"/>
        <v>41213-Reintegros y otros RECURSOS no apropiados</v>
      </c>
    </row>
    <row r="38" spans="1:46" s="1674" customFormat="1" ht="15" x14ac:dyDescent="0.25">
      <c r="A38" s="1670">
        <v>4122</v>
      </c>
      <c r="B38" s="1671" t="s">
        <v>1431</v>
      </c>
      <c r="C38" s="1315">
        <v>1200000</v>
      </c>
      <c r="D38" s="1672">
        <f t="shared" si="1"/>
        <v>1.2E-4</v>
      </c>
      <c r="E38" s="1315">
        <v>14000</v>
      </c>
      <c r="F38" s="1672">
        <f t="shared" si="2"/>
        <v>1.1666666666666666E-6</v>
      </c>
      <c r="G38" s="1673">
        <f t="shared" si="3"/>
        <v>-1186000</v>
      </c>
      <c r="H38" s="1672">
        <f t="shared" si="4"/>
        <v>-84.714285714285708</v>
      </c>
      <c r="I38" s="1665"/>
      <c r="J38" s="1315">
        <v>14000</v>
      </c>
      <c r="K38" s="1315"/>
      <c r="L38" s="1315"/>
      <c r="M38" s="1673">
        <f t="shared" si="5"/>
        <v>14000</v>
      </c>
      <c r="N38" s="1315">
        <v>14000</v>
      </c>
      <c r="O38" s="2268">
        <f t="shared" si="6"/>
        <v>1</v>
      </c>
      <c r="P38" s="2268"/>
      <c r="Q38" s="2268"/>
      <c r="R38" s="1664"/>
      <c r="S38" s="1320"/>
      <c r="AT38" s="1675" t="str">
        <f t="shared" si="0"/>
        <v>4122-Transferencias</v>
      </c>
    </row>
    <row r="39" spans="1:46" s="606" customFormat="1" ht="15" x14ac:dyDescent="0.25">
      <c r="A39" s="1676">
        <v>412201</v>
      </c>
      <c r="B39" s="1677" t="s">
        <v>1433</v>
      </c>
      <c r="C39" s="1316">
        <v>1200000</v>
      </c>
      <c r="D39" s="1678">
        <f t="shared" si="1"/>
        <v>1.2E-4</v>
      </c>
      <c r="E39" s="1316">
        <v>14001</v>
      </c>
      <c r="F39" s="1678">
        <f t="shared" si="2"/>
        <v>1.1667500000000001E-6</v>
      </c>
      <c r="G39" s="1679">
        <f t="shared" si="3"/>
        <v>-1185999</v>
      </c>
      <c r="H39" s="1678">
        <f t="shared" si="4"/>
        <v>-84.708163702592671</v>
      </c>
      <c r="I39" s="1319"/>
      <c r="J39" s="1316">
        <v>14001</v>
      </c>
      <c r="K39" s="1316"/>
      <c r="L39" s="1316"/>
      <c r="M39" s="1679">
        <f t="shared" si="5"/>
        <v>14001</v>
      </c>
      <c r="N39" s="1316">
        <v>14001</v>
      </c>
      <c r="O39" s="2269">
        <f t="shared" si="6"/>
        <v>1</v>
      </c>
      <c r="P39" s="2269"/>
      <c r="Q39" s="2269"/>
      <c r="R39" s="1664"/>
      <c r="S39" s="1321"/>
      <c r="AT39" s="1680" t="str">
        <f t="shared" si="0"/>
        <v>412201-Transferencias corrientes nacionales</v>
      </c>
    </row>
    <row r="40" spans="1:46" s="606" customFormat="1" ht="15" x14ac:dyDescent="0.25">
      <c r="A40" s="1676">
        <v>412202</v>
      </c>
      <c r="B40" s="1677" t="s">
        <v>1435</v>
      </c>
      <c r="C40" s="1316">
        <v>1200000</v>
      </c>
      <c r="D40" s="1678">
        <f t="shared" si="1"/>
        <v>1.2E-4</v>
      </c>
      <c r="E40" s="1316">
        <v>14002</v>
      </c>
      <c r="F40" s="1678">
        <f t="shared" si="2"/>
        <v>1.1668333333333334E-6</v>
      </c>
      <c r="G40" s="1679">
        <f t="shared" si="3"/>
        <v>-1185998</v>
      </c>
      <c r="H40" s="1678">
        <f t="shared" si="4"/>
        <v>-84.70204256534781</v>
      </c>
      <c r="I40" s="1319"/>
      <c r="J40" s="1316">
        <v>14002</v>
      </c>
      <c r="K40" s="1316"/>
      <c r="L40" s="1316"/>
      <c r="M40" s="1679">
        <f t="shared" si="5"/>
        <v>14002</v>
      </c>
      <c r="N40" s="1316">
        <v>14002</v>
      </c>
      <c r="O40" s="2269">
        <f t="shared" si="6"/>
        <v>1</v>
      </c>
      <c r="P40" s="2269"/>
      <c r="Q40" s="2269"/>
      <c r="R40" s="1664"/>
      <c r="S40" s="1321"/>
      <c r="AT40" s="1680" t="str">
        <f t="shared" si="0"/>
        <v>412202-Departamentales</v>
      </c>
    </row>
    <row r="41" spans="1:46" s="606" customFormat="1" ht="15" x14ac:dyDescent="0.25">
      <c r="A41" s="1676">
        <v>412203</v>
      </c>
      <c r="B41" s="1677" t="s">
        <v>1437</v>
      </c>
      <c r="C41" s="1316">
        <v>1200000</v>
      </c>
      <c r="D41" s="1678">
        <f t="shared" si="1"/>
        <v>1.2E-4</v>
      </c>
      <c r="E41" s="1316">
        <v>14003</v>
      </c>
      <c r="F41" s="1678">
        <f t="shared" si="2"/>
        <v>1.1669166666666667E-6</v>
      </c>
      <c r="G41" s="1679">
        <f t="shared" si="3"/>
        <v>-1185997</v>
      </c>
      <c r="H41" s="1678">
        <f t="shared" si="4"/>
        <v>-84.695922302363783</v>
      </c>
      <c r="I41" s="1319"/>
      <c r="J41" s="1316">
        <v>14003</v>
      </c>
      <c r="K41" s="1316"/>
      <c r="L41" s="1316"/>
      <c r="M41" s="1679">
        <f t="shared" si="5"/>
        <v>14003</v>
      </c>
      <c r="N41" s="1316">
        <v>14003</v>
      </c>
      <c r="O41" s="2269">
        <f t="shared" si="6"/>
        <v>1</v>
      </c>
      <c r="P41" s="2269"/>
      <c r="Q41" s="2269"/>
      <c r="R41" s="1664"/>
      <c r="S41" s="1321"/>
      <c r="AT41" s="1680" t="str">
        <f t="shared" si="0"/>
        <v>412203-Distritales</v>
      </c>
    </row>
    <row r="42" spans="1:46" s="606" customFormat="1" ht="15" x14ac:dyDescent="0.25">
      <c r="A42" s="1676">
        <v>412204</v>
      </c>
      <c r="B42" s="1677" t="s">
        <v>1439</v>
      </c>
      <c r="C42" s="1316">
        <v>1200000</v>
      </c>
      <c r="D42" s="1678">
        <f t="shared" si="1"/>
        <v>1.2E-4</v>
      </c>
      <c r="E42" s="1316">
        <v>14004</v>
      </c>
      <c r="F42" s="1678">
        <f t="shared" si="2"/>
        <v>1.167E-6</v>
      </c>
      <c r="G42" s="1679">
        <f t="shared" si="3"/>
        <v>-1185996</v>
      </c>
      <c r="H42" s="1678">
        <f t="shared" si="4"/>
        <v>-84.689802913453306</v>
      </c>
      <c r="I42" s="1319"/>
      <c r="J42" s="1316">
        <v>14004</v>
      </c>
      <c r="K42" s="1316"/>
      <c r="L42" s="1316"/>
      <c r="M42" s="1679">
        <f t="shared" si="5"/>
        <v>14004</v>
      </c>
      <c r="N42" s="1316">
        <v>14004</v>
      </c>
      <c r="O42" s="2269">
        <f t="shared" si="6"/>
        <v>1</v>
      </c>
      <c r="P42" s="2269"/>
      <c r="Q42" s="2269"/>
      <c r="R42" s="1664"/>
      <c r="S42" s="1321"/>
      <c r="AT42" s="1680" t="str">
        <f t="shared" si="0"/>
        <v>412204-Otras Transferencias</v>
      </c>
    </row>
    <row r="43" spans="1:46" s="1674" customFormat="1" ht="15" x14ac:dyDescent="0.25">
      <c r="A43" s="1670">
        <v>415</v>
      </c>
      <c r="B43" s="1671" t="s">
        <v>1441</v>
      </c>
      <c r="C43" s="1315">
        <v>1200000</v>
      </c>
      <c r="D43" s="1672">
        <f t="shared" si="1"/>
        <v>1.2E-4</v>
      </c>
      <c r="E43" s="1315">
        <v>14005</v>
      </c>
      <c r="F43" s="1672">
        <f t="shared" si="2"/>
        <v>1.1670833333333333E-6</v>
      </c>
      <c r="G43" s="1673">
        <f t="shared" si="3"/>
        <v>-1185995</v>
      </c>
      <c r="H43" s="1672">
        <f t="shared" si="4"/>
        <v>-84.683684398429136</v>
      </c>
      <c r="I43" s="1665"/>
      <c r="J43" s="1315">
        <v>14005</v>
      </c>
      <c r="K43" s="1315"/>
      <c r="L43" s="1315"/>
      <c r="M43" s="1673">
        <f t="shared" si="5"/>
        <v>14005</v>
      </c>
      <c r="N43" s="1315">
        <v>14005</v>
      </c>
      <c r="O43" s="2268">
        <f t="shared" si="6"/>
        <v>1</v>
      </c>
      <c r="P43" s="2268"/>
      <c r="Q43" s="2268"/>
      <c r="R43" s="1664"/>
      <c r="S43" s="1320"/>
      <c r="AT43" s="1675" t="str">
        <f t="shared" si="0"/>
        <v>415-Transferencias Administración Central</v>
      </c>
    </row>
    <row r="44" spans="1:46" s="606" customFormat="1" ht="15.75" thickBot="1" x14ac:dyDescent="0.3">
      <c r="A44" s="1681"/>
      <c r="B44" s="1682"/>
      <c r="C44" s="1317"/>
      <c r="D44" s="1683"/>
      <c r="E44" s="1317"/>
      <c r="F44" s="1683"/>
      <c r="G44" s="1684"/>
      <c r="H44" s="1683"/>
      <c r="I44" s="1666"/>
      <c r="J44" s="1317"/>
      <c r="K44" s="1317"/>
      <c r="L44" s="1317"/>
      <c r="M44" s="1684"/>
      <c r="N44" s="1317"/>
      <c r="O44" s="2260" t="str">
        <f t="shared" si="6"/>
        <v/>
      </c>
      <c r="P44" s="2261"/>
      <c r="Q44" s="2262"/>
      <c r="R44" s="1322"/>
      <c r="S44" s="1323"/>
      <c r="AT44" s="1680" t="str">
        <f t="shared" si="0"/>
        <v>-</v>
      </c>
    </row>
    <row r="45" spans="1:46" ht="15" x14ac:dyDescent="0.25">
      <c r="A45" s="2263" t="s">
        <v>1583</v>
      </c>
      <c r="B45" s="2264"/>
      <c r="C45" s="2255" t="s">
        <v>1563</v>
      </c>
      <c r="D45" s="2255"/>
      <c r="E45" s="2255"/>
      <c r="F45" s="2255"/>
      <c r="G45" s="2255"/>
      <c r="H45" s="2255"/>
      <c r="I45" s="2255"/>
      <c r="J45" s="2257" t="s">
        <v>1564</v>
      </c>
      <c r="K45" s="2255"/>
      <c r="L45" s="2255"/>
      <c r="M45" s="2255"/>
      <c r="N45" s="2255"/>
      <c r="O45" s="2255"/>
      <c r="P45" s="2255"/>
      <c r="Q45" s="2255"/>
      <c r="R45" s="2255"/>
      <c r="S45" s="875"/>
      <c r="AT45" s="296"/>
    </row>
    <row r="46" spans="1:46" ht="15" thickBot="1" x14ac:dyDescent="0.3">
      <c r="A46" s="2253"/>
      <c r="B46" s="2254"/>
      <c r="C46" s="2256"/>
      <c r="D46" s="2256"/>
      <c r="E46" s="2256"/>
      <c r="F46" s="2256"/>
      <c r="G46" s="2256"/>
      <c r="H46" s="2256"/>
      <c r="I46" s="2256"/>
      <c r="J46" s="2259"/>
      <c r="K46" s="2256"/>
      <c r="L46" s="2256"/>
      <c r="M46" s="2256"/>
      <c r="N46" s="2256"/>
      <c r="O46" s="2256"/>
      <c r="P46" s="2256"/>
      <c r="Q46" s="2256"/>
      <c r="R46" s="2256"/>
      <c r="S46" s="876" t="s">
        <v>1565</v>
      </c>
      <c r="AT46" s="296"/>
    </row>
    <row r="47" spans="1:46" ht="36.75" customHeight="1" x14ac:dyDescent="0.25">
      <c r="A47" s="2249" t="s">
        <v>302</v>
      </c>
      <c r="B47" s="2240" t="s">
        <v>1566</v>
      </c>
      <c r="C47" s="2249" t="s">
        <v>1584</v>
      </c>
      <c r="D47" s="2238" t="s">
        <v>1585</v>
      </c>
      <c r="E47" s="2238" t="s">
        <v>1586</v>
      </c>
      <c r="F47" s="2238" t="s">
        <v>1587</v>
      </c>
      <c r="G47" s="2238" t="s">
        <v>1571</v>
      </c>
      <c r="H47" s="2238" t="s">
        <v>1572</v>
      </c>
      <c r="I47" s="2240" t="s">
        <v>1573</v>
      </c>
      <c r="J47" s="2249" t="s">
        <v>1574</v>
      </c>
      <c r="K47" s="2238" t="s">
        <v>1575</v>
      </c>
      <c r="L47" s="2238"/>
      <c r="M47" s="2238" t="s">
        <v>1588</v>
      </c>
      <c r="N47" s="2238" t="s">
        <v>1589</v>
      </c>
      <c r="O47" s="2238" t="s">
        <v>1590</v>
      </c>
      <c r="P47" s="2238" t="s">
        <v>1591</v>
      </c>
      <c r="Q47" s="2238" t="s">
        <v>1592</v>
      </c>
      <c r="R47" s="2238" t="s">
        <v>1579</v>
      </c>
      <c r="S47" s="2240" t="s">
        <v>1593</v>
      </c>
      <c r="AT47" s="296"/>
    </row>
    <row r="48" spans="1:46" ht="39.75" customHeight="1" thickBot="1" x14ac:dyDescent="0.3">
      <c r="A48" s="2265"/>
      <c r="B48" s="2266"/>
      <c r="C48" s="2250"/>
      <c r="D48" s="2239"/>
      <c r="E48" s="2239"/>
      <c r="F48" s="2239"/>
      <c r="G48" s="2239"/>
      <c r="H48" s="2239"/>
      <c r="I48" s="2241"/>
      <c r="J48" s="2250"/>
      <c r="K48" s="877" t="s">
        <v>1581</v>
      </c>
      <c r="L48" s="877" t="s">
        <v>1582</v>
      </c>
      <c r="M48" s="2239"/>
      <c r="N48" s="2239"/>
      <c r="O48" s="2239"/>
      <c r="P48" s="2239"/>
      <c r="Q48" s="2239"/>
      <c r="R48" s="2267"/>
      <c r="S48" s="2241"/>
      <c r="AT48" s="296"/>
    </row>
    <row r="49" spans="1:46" s="756" customFormat="1" ht="15" x14ac:dyDescent="0.25">
      <c r="A49" s="921">
        <v>42</v>
      </c>
      <c r="B49" s="780" t="s">
        <v>500</v>
      </c>
      <c r="C49" s="1324">
        <v>10000000000</v>
      </c>
      <c r="D49" s="885">
        <f>IF(C49="","",C49/$C$49)</f>
        <v>1</v>
      </c>
      <c r="E49" s="1324">
        <v>12000000000</v>
      </c>
      <c r="F49" s="885">
        <f>IF(E49="","",E49/$E$49)</f>
        <v>1</v>
      </c>
      <c r="G49" s="886">
        <f t="shared" ref="G49:G83" si="7">IF(AND(C49="",E49=""),"",E49-C49)</f>
        <v>2000000000</v>
      </c>
      <c r="H49" s="885">
        <f t="shared" ref="H49:H83" si="8">IF(E49="",G49/C49,G49/E49)</f>
        <v>0.16666666666666666</v>
      </c>
      <c r="I49" s="1325"/>
      <c r="J49" s="1324">
        <v>12000000000</v>
      </c>
      <c r="K49" s="1324"/>
      <c r="L49" s="1324"/>
      <c r="M49" s="886">
        <f t="shared" ref="M49:M83" si="9">IF(J49="","",J49-K49+L49)</f>
        <v>12000000000</v>
      </c>
      <c r="N49" s="1324">
        <v>133000000000</v>
      </c>
      <c r="O49" s="885">
        <f>IF(OR(E49="",N49=""),"",N49/E49)</f>
        <v>11.083333333333334</v>
      </c>
      <c r="P49" s="1324">
        <v>12000000000</v>
      </c>
      <c r="Q49" s="885">
        <f>IF(OR(E49="",P49=""),"",P49/E49)</f>
        <v>1</v>
      </c>
      <c r="R49" s="1244"/>
      <c r="S49" s="1327"/>
      <c r="AT49" s="750" t="str">
        <f t="shared" ref="AT49:AT82" si="10">CONCATENATE(A49,"-",B49)</f>
        <v>42-GASTOS</v>
      </c>
    </row>
    <row r="50" spans="1:46" s="756" customFormat="1" ht="15" x14ac:dyDescent="0.25">
      <c r="A50" s="921">
        <v>421</v>
      </c>
      <c r="B50" s="780" t="s">
        <v>1445</v>
      </c>
      <c r="C50" s="1315">
        <v>20000000</v>
      </c>
      <c r="D50" s="878">
        <f t="shared" ref="D50:D83" si="11">IF(C50="","",C50/$C$49)</f>
        <v>2E-3</v>
      </c>
      <c r="E50" s="1315">
        <v>200000</v>
      </c>
      <c r="F50" s="878">
        <f t="shared" ref="F50:F83" si="12">IF(E50="","",E50/$E$49)</f>
        <v>1.6666666666666667E-5</v>
      </c>
      <c r="G50" s="879">
        <f t="shared" si="7"/>
        <v>-19800000</v>
      </c>
      <c r="H50" s="878">
        <f t="shared" si="8"/>
        <v>-99</v>
      </c>
      <c r="I50" s="1318"/>
      <c r="J50" s="1315">
        <v>200000</v>
      </c>
      <c r="K50" s="1315"/>
      <c r="L50" s="1315"/>
      <c r="M50" s="879">
        <f t="shared" si="9"/>
        <v>200000</v>
      </c>
      <c r="N50" s="1315">
        <v>200000</v>
      </c>
      <c r="O50" s="878">
        <f t="shared" ref="O50:O83" si="13">IF(OR(E50="",N50=""),"",N50/E50)</f>
        <v>1</v>
      </c>
      <c r="P50" s="1315">
        <v>200000</v>
      </c>
      <c r="Q50" s="878">
        <f t="shared" ref="Q50:Q83" si="14">IF(OR(E50="",P50=""),"",P50/E50)</f>
        <v>1</v>
      </c>
      <c r="R50" s="1244"/>
      <c r="S50" s="1320"/>
      <c r="AT50" s="750" t="str">
        <f t="shared" si="10"/>
        <v>421-GASTOS DE FUNCIONAMIENTO</v>
      </c>
    </row>
    <row r="51" spans="1:46" ht="15" x14ac:dyDescent="0.25">
      <c r="A51" s="920">
        <v>4211</v>
      </c>
      <c r="B51" s="887" t="s">
        <v>1447</v>
      </c>
      <c r="C51" s="1316">
        <v>3000000</v>
      </c>
      <c r="D51" s="881">
        <f t="shared" si="11"/>
        <v>2.9999999999999997E-4</v>
      </c>
      <c r="E51" s="1316">
        <v>5000000</v>
      </c>
      <c r="F51" s="881">
        <f t="shared" si="12"/>
        <v>4.1666666666666669E-4</v>
      </c>
      <c r="G51" s="882">
        <f t="shared" si="7"/>
        <v>2000000</v>
      </c>
      <c r="H51" s="881">
        <f t="shared" si="8"/>
        <v>0.4</v>
      </c>
      <c r="I51" s="1319"/>
      <c r="J51" s="1316">
        <v>5000000</v>
      </c>
      <c r="K51" s="1316"/>
      <c r="L51" s="1316"/>
      <c r="M51" s="882">
        <f t="shared" si="9"/>
        <v>5000000</v>
      </c>
      <c r="N51" s="1316">
        <v>5000000</v>
      </c>
      <c r="O51" s="881">
        <f t="shared" si="13"/>
        <v>1</v>
      </c>
      <c r="P51" s="1316">
        <v>5000000</v>
      </c>
      <c r="Q51" s="881">
        <f t="shared" si="14"/>
        <v>1</v>
      </c>
      <c r="R51" s="1065"/>
      <c r="S51" s="1321"/>
      <c r="AT51" s="296" t="str">
        <f t="shared" si="10"/>
        <v>4211-Gasto de personal</v>
      </c>
    </row>
    <row r="52" spans="1:46" ht="15" x14ac:dyDescent="0.25">
      <c r="A52" s="920">
        <v>421101</v>
      </c>
      <c r="B52" s="887" t="s">
        <v>1449</v>
      </c>
      <c r="C52" s="1316">
        <v>120000</v>
      </c>
      <c r="D52" s="881">
        <f t="shared" si="11"/>
        <v>1.2E-5</v>
      </c>
      <c r="E52" s="1316">
        <v>120000</v>
      </c>
      <c r="F52" s="881">
        <f t="shared" si="12"/>
        <v>1.0000000000000001E-5</v>
      </c>
      <c r="G52" s="882">
        <f t="shared" si="7"/>
        <v>0</v>
      </c>
      <c r="H52" s="881">
        <f t="shared" si="8"/>
        <v>0</v>
      </c>
      <c r="I52" s="1319"/>
      <c r="J52" s="1316">
        <v>120000</v>
      </c>
      <c r="K52" s="1316"/>
      <c r="L52" s="1316"/>
      <c r="M52" s="882">
        <f t="shared" si="9"/>
        <v>120000</v>
      </c>
      <c r="N52" s="1316">
        <v>120000</v>
      </c>
      <c r="O52" s="881">
        <f t="shared" si="13"/>
        <v>1</v>
      </c>
      <c r="P52" s="1316">
        <v>120000</v>
      </c>
      <c r="Q52" s="881">
        <f t="shared" si="14"/>
        <v>1</v>
      </c>
      <c r="R52" s="1065"/>
      <c r="S52" s="1321"/>
      <c r="AT52" s="296" t="str">
        <f t="shared" si="10"/>
        <v>421101-Planta de Personal permanente</v>
      </c>
    </row>
    <row r="53" spans="1:46" ht="16.5" customHeight="1" x14ac:dyDescent="0.25">
      <c r="A53" s="920">
        <v>421102</v>
      </c>
      <c r="B53" s="887" t="s">
        <v>1451</v>
      </c>
      <c r="C53" s="1316">
        <v>2000000</v>
      </c>
      <c r="D53" s="881">
        <f t="shared" si="11"/>
        <v>2.0000000000000001E-4</v>
      </c>
      <c r="E53" s="1316">
        <v>2000000</v>
      </c>
      <c r="F53" s="881">
        <f t="shared" si="12"/>
        <v>1.6666666666666666E-4</v>
      </c>
      <c r="G53" s="882">
        <f t="shared" si="7"/>
        <v>0</v>
      </c>
      <c r="H53" s="881">
        <f t="shared" si="8"/>
        <v>0</v>
      </c>
      <c r="I53" s="1319"/>
      <c r="J53" s="1316">
        <v>2000000</v>
      </c>
      <c r="K53" s="1316"/>
      <c r="L53" s="1316"/>
      <c r="M53" s="882">
        <f t="shared" si="9"/>
        <v>2000000</v>
      </c>
      <c r="N53" s="1316">
        <v>2000000</v>
      </c>
      <c r="O53" s="881">
        <f t="shared" si="13"/>
        <v>1</v>
      </c>
      <c r="P53" s="1316">
        <v>2000000</v>
      </c>
      <c r="Q53" s="881">
        <f t="shared" si="14"/>
        <v>1</v>
      </c>
      <c r="R53" s="1065"/>
      <c r="S53" s="1321"/>
      <c r="AT53" s="296" t="str">
        <f t="shared" si="10"/>
        <v>421102-Personal supernumerario y Planta temporal</v>
      </c>
    </row>
    <row r="54" spans="1:46" ht="15" x14ac:dyDescent="0.25">
      <c r="A54" s="920">
        <v>4212</v>
      </c>
      <c r="B54" s="887" t="s">
        <v>1454</v>
      </c>
      <c r="C54" s="1316">
        <v>12000</v>
      </c>
      <c r="D54" s="881">
        <f t="shared" si="11"/>
        <v>1.1999999999999999E-6</v>
      </c>
      <c r="E54" s="1316">
        <v>12000</v>
      </c>
      <c r="F54" s="881">
        <f t="shared" si="12"/>
        <v>9.9999999999999995E-7</v>
      </c>
      <c r="G54" s="882">
        <f t="shared" si="7"/>
        <v>0</v>
      </c>
      <c r="H54" s="881">
        <f t="shared" si="8"/>
        <v>0</v>
      </c>
      <c r="I54" s="1319"/>
      <c r="J54" s="1316">
        <v>12000</v>
      </c>
      <c r="K54" s="1316"/>
      <c r="L54" s="1316"/>
      <c r="M54" s="882">
        <f t="shared" si="9"/>
        <v>12000</v>
      </c>
      <c r="N54" s="1316">
        <v>12000</v>
      </c>
      <c r="O54" s="881">
        <f t="shared" si="13"/>
        <v>1</v>
      </c>
      <c r="P54" s="1316">
        <v>12000</v>
      </c>
      <c r="Q54" s="881">
        <f t="shared" si="14"/>
        <v>1</v>
      </c>
      <c r="R54" s="1065"/>
      <c r="S54" s="1321"/>
      <c r="AT54" s="296" t="str">
        <f t="shared" si="10"/>
        <v>4212-Adquisición bienes y servicios</v>
      </c>
    </row>
    <row r="55" spans="1:46" ht="15" x14ac:dyDescent="0.25">
      <c r="A55" s="920">
        <v>421201</v>
      </c>
      <c r="B55" s="887" t="s">
        <v>1456</v>
      </c>
      <c r="C55" s="1316">
        <v>12000</v>
      </c>
      <c r="D55" s="881">
        <f t="shared" si="11"/>
        <v>1.1999999999999999E-6</v>
      </c>
      <c r="E55" s="1316">
        <v>12000</v>
      </c>
      <c r="F55" s="881">
        <f t="shared" si="12"/>
        <v>9.9999999999999995E-7</v>
      </c>
      <c r="G55" s="882">
        <f t="shared" si="7"/>
        <v>0</v>
      </c>
      <c r="H55" s="881">
        <f t="shared" si="8"/>
        <v>0</v>
      </c>
      <c r="I55" s="1319"/>
      <c r="J55" s="1316">
        <v>12000</v>
      </c>
      <c r="K55" s="1316"/>
      <c r="L55" s="1316"/>
      <c r="M55" s="882">
        <f t="shared" si="9"/>
        <v>12000</v>
      </c>
      <c r="N55" s="1316">
        <v>12000</v>
      </c>
      <c r="O55" s="881">
        <f t="shared" si="13"/>
        <v>1</v>
      </c>
      <c r="P55" s="1316">
        <v>12000</v>
      </c>
      <c r="Q55" s="881">
        <f t="shared" si="14"/>
        <v>1</v>
      </c>
      <c r="R55" s="1065" t="s">
        <v>1642</v>
      </c>
      <c r="S55" s="1321"/>
      <c r="AT55" s="296" t="str">
        <f t="shared" si="10"/>
        <v>421201-Adquisición de activos no financieros</v>
      </c>
    </row>
    <row r="56" spans="1:46" ht="15" x14ac:dyDescent="0.25">
      <c r="A56" s="920">
        <v>421202</v>
      </c>
      <c r="B56" s="887" t="s">
        <v>1458</v>
      </c>
      <c r="C56" s="1316">
        <v>12000</v>
      </c>
      <c r="D56" s="881">
        <f t="shared" si="11"/>
        <v>1.1999999999999999E-6</v>
      </c>
      <c r="E56" s="1316">
        <v>12000</v>
      </c>
      <c r="F56" s="881">
        <f t="shared" si="12"/>
        <v>9.9999999999999995E-7</v>
      </c>
      <c r="G56" s="882">
        <f t="shared" si="7"/>
        <v>0</v>
      </c>
      <c r="H56" s="881">
        <f t="shared" si="8"/>
        <v>0</v>
      </c>
      <c r="I56" s="1319"/>
      <c r="J56" s="1316">
        <v>12000</v>
      </c>
      <c r="K56" s="1316"/>
      <c r="L56" s="1316"/>
      <c r="M56" s="882">
        <f t="shared" si="9"/>
        <v>12000</v>
      </c>
      <c r="N56" s="1316">
        <v>12000</v>
      </c>
      <c r="O56" s="881">
        <f t="shared" si="13"/>
        <v>1</v>
      </c>
      <c r="P56" s="1316">
        <v>12000</v>
      </c>
      <c r="Q56" s="881">
        <f t="shared" si="14"/>
        <v>1</v>
      </c>
      <c r="R56" s="1065"/>
      <c r="S56" s="1321"/>
      <c r="AT56" s="296" t="str">
        <f t="shared" si="10"/>
        <v>421202-Adquisiciones diferentes de activos</v>
      </c>
    </row>
    <row r="57" spans="1:46" ht="15" x14ac:dyDescent="0.25">
      <c r="A57" s="920">
        <v>4213</v>
      </c>
      <c r="B57" s="887" t="s">
        <v>1460</v>
      </c>
      <c r="C57" s="1316">
        <v>12000</v>
      </c>
      <c r="D57" s="881">
        <f t="shared" si="11"/>
        <v>1.1999999999999999E-6</v>
      </c>
      <c r="E57" s="1316">
        <v>130000</v>
      </c>
      <c r="F57" s="881">
        <f t="shared" si="12"/>
        <v>1.0833333333333334E-5</v>
      </c>
      <c r="G57" s="882">
        <f t="shared" si="7"/>
        <v>118000</v>
      </c>
      <c r="H57" s="881">
        <f t="shared" si="8"/>
        <v>0.90769230769230769</v>
      </c>
      <c r="I57" s="1319"/>
      <c r="J57" s="1316">
        <v>130000</v>
      </c>
      <c r="K57" s="1316"/>
      <c r="L57" s="1316"/>
      <c r="M57" s="882">
        <f t="shared" si="9"/>
        <v>130000</v>
      </c>
      <c r="N57" s="1316">
        <v>130000</v>
      </c>
      <c r="O57" s="881">
        <f t="shared" si="13"/>
        <v>1</v>
      </c>
      <c r="P57" s="1316">
        <v>130000</v>
      </c>
      <c r="Q57" s="881">
        <f t="shared" si="14"/>
        <v>1</v>
      </c>
      <c r="R57" s="1065"/>
      <c r="S57" s="1321"/>
      <c r="AT57" s="296" t="str">
        <f t="shared" si="10"/>
        <v>4213-Transferencias CORRIENTES</v>
      </c>
    </row>
    <row r="58" spans="1:46" ht="15" x14ac:dyDescent="0.25">
      <c r="A58" s="920">
        <v>421304</v>
      </c>
      <c r="B58" s="887" t="s">
        <v>1462</v>
      </c>
      <c r="C58" s="1316">
        <v>12000</v>
      </c>
      <c r="D58" s="881">
        <f t="shared" si="11"/>
        <v>1.1999999999999999E-6</v>
      </c>
      <c r="E58" s="1316">
        <v>12000</v>
      </c>
      <c r="F58" s="881">
        <f t="shared" si="12"/>
        <v>9.9999999999999995E-7</v>
      </c>
      <c r="G58" s="882">
        <f t="shared" si="7"/>
        <v>0</v>
      </c>
      <c r="H58" s="881">
        <f t="shared" si="8"/>
        <v>0</v>
      </c>
      <c r="I58" s="1319"/>
      <c r="J58" s="1316">
        <v>12000</v>
      </c>
      <c r="K58" s="1316"/>
      <c r="L58" s="1316"/>
      <c r="M58" s="882">
        <f t="shared" si="9"/>
        <v>12000</v>
      </c>
      <c r="N58" s="1316">
        <v>12000</v>
      </c>
      <c r="O58" s="881">
        <f t="shared" si="13"/>
        <v>1</v>
      </c>
      <c r="P58" s="1316">
        <v>12000</v>
      </c>
      <c r="Q58" s="881">
        <f t="shared" si="14"/>
        <v>1</v>
      </c>
      <c r="R58" s="1065"/>
      <c r="S58" s="1321"/>
      <c r="AT58" s="296" t="str">
        <f t="shared" si="10"/>
        <v>421304-A organizaciones nacionales</v>
      </c>
    </row>
    <row r="59" spans="1:46" ht="15" x14ac:dyDescent="0.25">
      <c r="A59" s="920">
        <v>421305</v>
      </c>
      <c r="B59" s="887" t="s">
        <v>1464</v>
      </c>
      <c r="C59" s="1316">
        <v>12000</v>
      </c>
      <c r="D59" s="881">
        <f t="shared" si="11"/>
        <v>1.1999999999999999E-6</v>
      </c>
      <c r="E59" s="1316">
        <v>12000</v>
      </c>
      <c r="F59" s="881">
        <f t="shared" si="12"/>
        <v>9.9999999999999995E-7</v>
      </c>
      <c r="G59" s="882">
        <f t="shared" si="7"/>
        <v>0</v>
      </c>
      <c r="H59" s="881">
        <f t="shared" si="8"/>
        <v>0</v>
      </c>
      <c r="I59" s="1319"/>
      <c r="J59" s="1316">
        <v>12000</v>
      </c>
      <c r="K59" s="1316"/>
      <c r="L59" s="1316"/>
      <c r="M59" s="882">
        <f t="shared" si="9"/>
        <v>12000</v>
      </c>
      <c r="N59" s="1316">
        <v>12000</v>
      </c>
      <c r="O59" s="881">
        <f t="shared" si="13"/>
        <v>1</v>
      </c>
      <c r="P59" s="1316">
        <v>12000</v>
      </c>
      <c r="Q59" s="881">
        <f t="shared" si="14"/>
        <v>1</v>
      </c>
      <c r="R59" s="1065"/>
      <c r="S59" s="1321"/>
      <c r="AT59" s="296" t="str">
        <f t="shared" si="10"/>
        <v>421305-A entidades del gobierno</v>
      </c>
    </row>
    <row r="60" spans="1:46" ht="15" x14ac:dyDescent="0.25">
      <c r="A60" s="920">
        <v>0</v>
      </c>
      <c r="B60" s="887" t="s">
        <v>441</v>
      </c>
      <c r="C60" s="1316">
        <v>12000</v>
      </c>
      <c r="D60" s="881">
        <f t="shared" si="11"/>
        <v>1.1999999999999999E-6</v>
      </c>
      <c r="E60" s="1316">
        <v>12000</v>
      </c>
      <c r="F60" s="881">
        <f t="shared" si="12"/>
        <v>9.9999999999999995E-7</v>
      </c>
      <c r="G60" s="882">
        <f t="shared" si="7"/>
        <v>0</v>
      </c>
      <c r="H60" s="881">
        <f t="shared" si="8"/>
        <v>0</v>
      </c>
      <c r="I60" s="1319"/>
      <c r="J60" s="1316">
        <v>12000</v>
      </c>
      <c r="K60" s="1316"/>
      <c r="L60" s="1316"/>
      <c r="M60" s="882">
        <f t="shared" si="9"/>
        <v>12000</v>
      </c>
      <c r="N60" s="1316">
        <v>12000</v>
      </c>
      <c r="O60" s="881">
        <f t="shared" si="13"/>
        <v>1</v>
      </c>
      <c r="P60" s="1316">
        <v>12000</v>
      </c>
      <c r="Q60" s="881">
        <f t="shared" si="14"/>
        <v>1</v>
      </c>
      <c r="R60" s="1065"/>
      <c r="S60" s="1321"/>
      <c r="AT60" s="296" t="str">
        <f t="shared" si="10"/>
        <v>0-Adquisición de activos financieros</v>
      </c>
    </row>
    <row r="61" spans="1:46" ht="15" x14ac:dyDescent="0.25">
      <c r="A61" s="920">
        <v>421314</v>
      </c>
      <c r="B61" s="887" t="s">
        <v>1466</v>
      </c>
      <c r="C61" s="1316">
        <v>12009</v>
      </c>
      <c r="D61" s="881">
        <f t="shared" si="11"/>
        <v>1.2009E-6</v>
      </c>
      <c r="E61" s="1316">
        <v>12000</v>
      </c>
      <c r="F61" s="881">
        <f t="shared" si="12"/>
        <v>9.9999999999999995E-7</v>
      </c>
      <c r="G61" s="882">
        <f t="shared" si="7"/>
        <v>-9</v>
      </c>
      <c r="H61" s="881">
        <f t="shared" si="8"/>
        <v>-7.5000000000000002E-4</v>
      </c>
      <c r="I61" s="1319"/>
      <c r="J61" s="1316">
        <v>12000</v>
      </c>
      <c r="K61" s="1316"/>
      <c r="L61" s="1316"/>
      <c r="M61" s="882">
        <f t="shared" si="9"/>
        <v>12000</v>
      </c>
      <c r="N61" s="1316">
        <v>12000</v>
      </c>
      <c r="O61" s="881">
        <f t="shared" si="13"/>
        <v>1</v>
      </c>
      <c r="P61" s="1316">
        <v>12000</v>
      </c>
      <c r="Q61" s="881">
        <f t="shared" si="14"/>
        <v>1</v>
      </c>
      <c r="R61" s="1065"/>
      <c r="S61" s="1321"/>
      <c r="AT61" s="296" t="str">
        <f t="shared" si="10"/>
        <v>421314-Aportes al FONPET</v>
      </c>
    </row>
    <row r="62" spans="1:46" ht="15" x14ac:dyDescent="0.25">
      <c r="A62" s="920">
        <v>4217</v>
      </c>
      <c r="B62" s="887" t="s">
        <v>1468</v>
      </c>
      <c r="C62" s="1316">
        <v>12010</v>
      </c>
      <c r="D62" s="881">
        <f t="shared" si="11"/>
        <v>1.201E-6</v>
      </c>
      <c r="E62" s="1316">
        <v>12000</v>
      </c>
      <c r="F62" s="881">
        <f t="shared" si="12"/>
        <v>9.9999999999999995E-7</v>
      </c>
      <c r="G62" s="882">
        <f t="shared" si="7"/>
        <v>-10</v>
      </c>
      <c r="H62" s="881">
        <f t="shared" si="8"/>
        <v>-8.3333333333333339E-4</v>
      </c>
      <c r="I62" s="1319"/>
      <c r="J62" s="1316">
        <v>12000</v>
      </c>
      <c r="K62" s="1316"/>
      <c r="L62" s="1316"/>
      <c r="M62" s="882">
        <f t="shared" si="9"/>
        <v>12000</v>
      </c>
      <c r="N62" s="1316">
        <v>12000</v>
      </c>
      <c r="O62" s="881">
        <f t="shared" si="13"/>
        <v>1</v>
      </c>
      <c r="P62" s="1316">
        <v>12000</v>
      </c>
      <c r="Q62" s="881">
        <f t="shared" si="14"/>
        <v>1</v>
      </c>
      <c r="R62" s="1065"/>
      <c r="S62" s="1321"/>
      <c r="AT62" s="296" t="str">
        <f t="shared" si="10"/>
        <v>4217-Disminución de Pasivos</v>
      </c>
    </row>
    <row r="63" spans="1:46" ht="18.75" customHeight="1" x14ac:dyDescent="0.25">
      <c r="A63" s="920">
        <v>4218</v>
      </c>
      <c r="B63" s="887" t="s">
        <v>443</v>
      </c>
      <c r="C63" s="1316">
        <v>12000</v>
      </c>
      <c r="D63" s="881">
        <f t="shared" si="11"/>
        <v>1.1999999999999999E-6</v>
      </c>
      <c r="E63" s="1316">
        <v>12000</v>
      </c>
      <c r="F63" s="881">
        <f t="shared" si="12"/>
        <v>9.9999999999999995E-7</v>
      </c>
      <c r="G63" s="882">
        <f t="shared" si="7"/>
        <v>0</v>
      </c>
      <c r="H63" s="881">
        <f t="shared" si="8"/>
        <v>0</v>
      </c>
      <c r="I63" s="1319"/>
      <c r="J63" s="1316">
        <v>12000</v>
      </c>
      <c r="K63" s="1316"/>
      <c r="L63" s="1316"/>
      <c r="M63" s="882">
        <f t="shared" si="9"/>
        <v>12000</v>
      </c>
      <c r="N63" s="1316">
        <v>12000</v>
      </c>
      <c r="O63" s="881">
        <f t="shared" si="13"/>
        <v>1</v>
      </c>
      <c r="P63" s="1316">
        <v>12000</v>
      </c>
      <c r="Q63" s="881">
        <f t="shared" si="14"/>
        <v>1</v>
      </c>
      <c r="R63" s="1065"/>
      <c r="S63" s="1321"/>
      <c r="AT63" s="296" t="str">
        <f t="shared" si="10"/>
        <v>4218-Gastos por tributos, tasas, contribuciones, multas, sanciones e intereses de mora</v>
      </c>
    </row>
    <row r="64" spans="1:46" s="756" customFormat="1" ht="15" x14ac:dyDescent="0.25">
      <c r="A64" s="921">
        <v>422</v>
      </c>
      <c r="B64" s="780" t="s">
        <v>1471</v>
      </c>
      <c r="C64" s="1315">
        <v>12001</v>
      </c>
      <c r="D64" s="878">
        <f t="shared" si="11"/>
        <v>1.2001E-6</v>
      </c>
      <c r="E64" s="1315">
        <v>12001</v>
      </c>
      <c r="F64" s="878">
        <f t="shared" si="12"/>
        <v>1.0000833333333333E-6</v>
      </c>
      <c r="G64" s="879">
        <f t="shared" si="7"/>
        <v>0</v>
      </c>
      <c r="H64" s="878">
        <f t="shared" si="8"/>
        <v>0</v>
      </c>
      <c r="I64" s="1318"/>
      <c r="J64" s="1315">
        <v>12001</v>
      </c>
      <c r="K64" s="1315"/>
      <c r="L64" s="1315"/>
      <c r="M64" s="879">
        <f t="shared" si="9"/>
        <v>12001</v>
      </c>
      <c r="N64" s="1315">
        <v>12001</v>
      </c>
      <c r="O64" s="878">
        <f t="shared" si="13"/>
        <v>1</v>
      </c>
      <c r="P64" s="1315">
        <v>12001</v>
      </c>
      <c r="Q64" s="878">
        <f t="shared" si="14"/>
        <v>1</v>
      </c>
      <c r="R64" s="1244"/>
      <c r="S64" s="1320"/>
      <c r="AT64" s="750" t="str">
        <f t="shared" si="10"/>
        <v>422-SERVICIO DE LA DEUDA PÚBLICA</v>
      </c>
    </row>
    <row r="65" spans="1:46" ht="15" x14ac:dyDescent="0.25">
      <c r="A65" s="920">
        <v>4221</v>
      </c>
      <c r="B65" s="887" t="s">
        <v>1473</v>
      </c>
      <c r="C65" s="1316">
        <v>12002</v>
      </c>
      <c r="D65" s="881">
        <f t="shared" si="11"/>
        <v>1.2002E-6</v>
      </c>
      <c r="E65" s="1316">
        <v>12002</v>
      </c>
      <c r="F65" s="881">
        <f t="shared" si="12"/>
        <v>1.0001666666666666E-6</v>
      </c>
      <c r="G65" s="882">
        <f t="shared" si="7"/>
        <v>0</v>
      </c>
      <c r="H65" s="881">
        <f t="shared" si="8"/>
        <v>0</v>
      </c>
      <c r="I65" s="1319"/>
      <c r="J65" s="1316">
        <v>12002</v>
      </c>
      <c r="K65" s="1316"/>
      <c r="L65" s="1316"/>
      <c r="M65" s="882">
        <f t="shared" si="9"/>
        <v>12002</v>
      </c>
      <c r="N65" s="1316">
        <v>12002</v>
      </c>
      <c r="O65" s="881">
        <f t="shared" si="13"/>
        <v>1</v>
      </c>
      <c r="P65" s="1316">
        <v>12002</v>
      </c>
      <c r="Q65" s="881">
        <f t="shared" si="14"/>
        <v>1</v>
      </c>
      <c r="R65" s="1065"/>
      <c r="S65" s="1321"/>
      <c r="AT65" s="296" t="str">
        <f t="shared" si="10"/>
        <v>4221-Servicios de la deuda pública externa</v>
      </c>
    </row>
    <row r="66" spans="1:46" ht="15" x14ac:dyDescent="0.25">
      <c r="A66" s="920">
        <v>422101</v>
      </c>
      <c r="B66" s="887" t="s">
        <v>1475</v>
      </c>
      <c r="C66" s="1316">
        <v>12003</v>
      </c>
      <c r="D66" s="881">
        <f t="shared" si="11"/>
        <v>1.2003E-6</v>
      </c>
      <c r="E66" s="1316">
        <v>12003</v>
      </c>
      <c r="F66" s="881">
        <f t="shared" si="12"/>
        <v>1.0002500000000001E-6</v>
      </c>
      <c r="G66" s="882">
        <f t="shared" si="7"/>
        <v>0</v>
      </c>
      <c r="H66" s="881">
        <f t="shared" si="8"/>
        <v>0</v>
      </c>
      <c r="I66" s="1319"/>
      <c r="J66" s="1316">
        <v>12003</v>
      </c>
      <c r="K66" s="1316"/>
      <c r="L66" s="1316"/>
      <c r="M66" s="882">
        <f t="shared" si="9"/>
        <v>12003</v>
      </c>
      <c r="N66" s="1316">
        <v>12003</v>
      </c>
      <c r="O66" s="881">
        <f t="shared" si="13"/>
        <v>1</v>
      </c>
      <c r="P66" s="1316">
        <v>12003</v>
      </c>
      <c r="Q66" s="881">
        <f t="shared" si="14"/>
        <v>1</v>
      </c>
      <c r="R66" s="1065"/>
      <c r="S66" s="1321"/>
      <c r="AT66" s="296" t="str">
        <f t="shared" si="10"/>
        <v>422101-Principal</v>
      </c>
    </row>
    <row r="67" spans="1:46" ht="15" x14ac:dyDescent="0.25">
      <c r="A67" s="920">
        <v>422102</v>
      </c>
      <c r="B67" s="887" t="s">
        <v>1477</v>
      </c>
      <c r="C67" s="1316">
        <v>12004</v>
      </c>
      <c r="D67" s="881">
        <f t="shared" si="11"/>
        <v>1.2004E-6</v>
      </c>
      <c r="E67" s="1316">
        <v>12004</v>
      </c>
      <c r="F67" s="881">
        <f t="shared" si="12"/>
        <v>1.0003333333333334E-6</v>
      </c>
      <c r="G67" s="882">
        <f t="shared" si="7"/>
        <v>0</v>
      </c>
      <c r="H67" s="881">
        <f t="shared" si="8"/>
        <v>0</v>
      </c>
      <c r="I67" s="1319"/>
      <c r="J67" s="1316">
        <v>12004</v>
      </c>
      <c r="K67" s="1316"/>
      <c r="L67" s="1316"/>
      <c r="M67" s="882">
        <f t="shared" si="9"/>
        <v>12004</v>
      </c>
      <c r="N67" s="1316">
        <v>12004</v>
      </c>
      <c r="O67" s="881">
        <f t="shared" si="13"/>
        <v>1</v>
      </c>
      <c r="P67" s="1316">
        <v>12004</v>
      </c>
      <c r="Q67" s="881">
        <f t="shared" si="14"/>
        <v>1</v>
      </c>
      <c r="R67" s="1065"/>
      <c r="S67" s="1321"/>
      <c r="AT67" s="296" t="str">
        <f t="shared" si="10"/>
        <v>422102-Intereses</v>
      </c>
    </row>
    <row r="68" spans="1:46" ht="15" x14ac:dyDescent="0.25">
      <c r="A68" s="920">
        <v>4222</v>
      </c>
      <c r="B68" s="887" t="s">
        <v>1479</v>
      </c>
      <c r="C68" s="1316">
        <v>12005</v>
      </c>
      <c r="D68" s="881">
        <f t="shared" si="11"/>
        <v>1.2005E-6</v>
      </c>
      <c r="E68" s="1316">
        <v>12005</v>
      </c>
      <c r="F68" s="881">
        <f t="shared" si="12"/>
        <v>1.0004166666666667E-6</v>
      </c>
      <c r="G68" s="882">
        <f t="shared" si="7"/>
        <v>0</v>
      </c>
      <c r="H68" s="881">
        <f t="shared" si="8"/>
        <v>0</v>
      </c>
      <c r="I68" s="1319"/>
      <c r="J68" s="1316">
        <v>12005</v>
      </c>
      <c r="K68" s="1316"/>
      <c r="L68" s="1316"/>
      <c r="M68" s="882">
        <f t="shared" si="9"/>
        <v>12005</v>
      </c>
      <c r="N68" s="1316">
        <v>12005</v>
      </c>
      <c r="O68" s="881">
        <f t="shared" si="13"/>
        <v>1</v>
      </c>
      <c r="P68" s="1316">
        <v>12005</v>
      </c>
      <c r="Q68" s="881">
        <f t="shared" si="14"/>
        <v>1</v>
      </c>
      <c r="R68" s="1065"/>
      <c r="S68" s="1321"/>
      <c r="AT68" s="296" t="str">
        <f t="shared" si="10"/>
        <v>4222-Servicios de la deuda pública interna</v>
      </c>
    </row>
    <row r="69" spans="1:46" ht="15" x14ac:dyDescent="0.25">
      <c r="A69" s="920">
        <v>422201</v>
      </c>
      <c r="B69" s="887" t="s">
        <v>1475</v>
      </c>
      <c r="C69" s="1316">
        <v>12006</v>
      </c>
      <c r="D69" s="881">
        <f t="shared" si="11"/>
        <v>1.2006E-6</v>
      </c>
      <c r="E69" s="1316">
        <v>12006</v>
      </c>
      <c r="F69" s="881">
        <f t="shared" si="12"/>
        <v>1.0005E-6</v>
      </c>
      <c r="G69" s="882">
        <f t="shared" si="7"/>
        <v>0</v>
      </c>
      <c r="H69" s="881">
        <f t="shared" si="8"/>
        <v>0</v>
      </c>
      <c r="I69" s="1319"/>
      <c r="J69" s="1316">
        <v>12006</v>
      </c>
      <c r="K69" s="1316"/>
      <c r="L69" s="1316"/>
      <c r="M69" s="882">
        <f t="shared" si="9"/>
        <v>12006</v>
      </c>
      <c r="N69" s="1316">
        <v>12006</v>
      </c>
      <c r="O69" s="881">
        <f t="shared" si="13"/>
        <v>1</v>
      </c>
      <c r="P69" s="1316">
        <v>12006</v>
      </c>
      <c r="Q69" s="881">
        <f t="shared" si="14"/>
        <v>1</v>
      </c>
      <c r="R69" s="1065"/>
      <c r="S69" s="1321"/>
      <c r="AT69" s="296" t="str">
        <f t="shared" si="10"/>
        <v>422201-Principal</v>
      </c>
    </row>
    <row r="70" spans="1:46" ht="15" x14ac:dyDescent="0.25">
      <c r="A70" s="920">
        <v>422202</v>
      </c>
      <c r="B70" s="887" t="s">
        <v>1477</v>
      </c>
      <c r="C70" s="1316">
        <v>12007</v>
      </c>
      <c r="D70" s="881">
        <f t="shared" si="11"/>
        <v>1.2007E-6</v>
      </c>
      <c r="E70" s="1316">
        <v>12007</v>
      </c>
      <c r="F70" s="881">
        <f t="shared" si="12"/>
        <v>1.0005833333333333E-6</v>
      </c>
      <c r="G70" s="882">
        <f t="shared" si="7"/>
        <v>0</v>
      </c>
      <c r="H70" s="881">
        <f t="shared" si="8"/>
        <v>0</v>
      </c>
      <c r="I70" s="1319"/>
      <c r="J70" s="1316">
        <v>12007</v>
      </c>
      <c r="K70" s="1316"/>
      <c r="L70" s="1316"/>
      <c r="M70" s="882">
        <f t="shared" si="9"/>
        <v>12007</v>
      </c>
      <c r="N70" s="1316">
        <v>12007</v>
      </c>
      <c r="O70" s="881">
        <f t="shared" si="13"/>
        <v>1</v>
      </c>
      <c r="P70" s="1316">
        <v>12007</v>
      </c>
      <c r="Q70" s="881">
        <f t="shared" si="14"/>
        <v>1</v>
      </c>
      <c r="R70" s="1065"/>
      <c r="S70" s="1321"/>
      <c r="AT70" s="296" t="str">
        <f t="shared" si="10"/>
        <v>422202-Intereses</v>
      </c>
    </row>
    <row r="71" spans="1:46" ht="15" x14ac:dyDescent="0.25">
      <c r="A71" s="920">
        <v>422203</v>
      </c>
      <c r="B71" s="887" t="s">
        <v>1483</v>
      </c>
      <c r="C71" s="1316">
        <v>12008</v>
      </c>
      <c r="D71" s="881">
        <f t="shared" si="11"/>
        <v>1.2008E-6</v>
      </c>
      <c r="E71" s="1316">
        <v>12008</v>
      </c>
      <c r="F71" s="881">
        <f t="shared" si="12"/>
        <v>1.0006666666666666E-6</v>
      </c>
      <c r="G71" s="882">
        <f t="shared" si="7"/>
        <v>0</v>
      </c>
      <c r="H71" s="881">
        <f t="shared" si="8"/>
        <v>0</v>
      </c>
      <c r="I71" s="1319"/>
      <c r="J71" s="1316">
        <v>12008</v>
      </c>
      <c r="K71" s="1316"/>
      <c r="L71" s="1316"/>
      <c r="M71" s="882">
        <f t="shared" si="9"/>
        <v>12008</v>
      </c>
      <c r="N71" s="1316">
        <v>12008</v>
      </c>
      <c r="O71" s="881">
        <f t="shared" si="13"/>
        <v>1</v>
      </c>
      <c r="P71" s="1316">
        <v>12008</v>
      </c>
      <c r="Q71" s="881">
        <f t="shared" si="14"/>
        <v>1</v>
      </c>
      <c r="R71" s="1065"/>
      <c r="S71" s="1321"/>
      <c r="AT71" s="296" t="str">
        <f t="shared" si="10"/>
        <v>422203-Comisiones y otros GASTOS</v>
      </c>
    </row>
    <row r="72" spans="1:46" s="756" customFormat="1" ht="15" x14ac:dyDescent="0.25">
      <c r="A72" s="921">
        <v>423</v>
      </c>
      <c r="B72" s="780" t="s">
        <v>1485</v>
      </c>
      <c r="C72" s="1315">
        <v>12009</v>
      </c>
      <c r="D72" s="878">
        <f t="shared" si="11"/>
        <v>1.2009E-6</v>
      </c>
      <c r="E72" s="1315">
        <v>12009</v>
      </c>
      <c r="F72" s="878">
        <f t="shared" si="12"/>
        <v>1.0007499999999999E-6</v>
      </c>
      <c r="G72" s="879">
        <f t="shared" si="7"/>
        <v>0</v>
      </c>
      <c r="H72" s="878">
        <f t="shared" si="8"/>
        <v>0</v>
      </c>
      <c r="I72" s="1318"/>
      <c r="J72" s="1315">
        <v>12009</v>
      </c>
      <c r="K72" s="1315"/>
      <c r="L72" s="1315"/>
      <c r="M72" s="879">
        <f t="shared" si="9"/>
        <v>12009</v>
      </c>
      <c r="N72" s="1315">
        <v>12009</v>
      </c>
      <c r="O72" s="878">
        <f t="shared" si="13"/>
        <v>1</v>
      </c>
      <c r="P72" s="1315">
        <v>12009</v>
      </c>
      <c r="Q72" s="878">
        <f t="shared" si="14"/>
        <v>1</v>
      </c>
      <c r="R72" s="1244"/>
      <c r="S72" s="1320"/>
      <c r="AT72" s="750" t="str">
        <f t="shared" si="10"/>
        <v>423-INVERSIÓN</v>
      </c>
    </row>
    <row r="73" spans="1:46" ht="15" x14ac:dyDescent="0.25">
      <c r="A73" s="920">
        <v>42301</v>
      </c>
      <c r="B73" s="887" t="s">
        <v>1487</v>
      </c>
      <c r="C73" s="1316">
        <v>12010</v>
      </c>
      <c r="D73" s="881">
        <f t="shared" si="11"/>
        <v>1.201E-6</v>
      </c>
      <c r="E73" s="1316">
        <v>12010</v>
      </c>
      <c r="F73" s="881">
        <f t="shared" si="12"/>
        <v>1.0008333333333334E-6</v>
      </c>
      <c r="G73" s="882">
        <f t="shared" si="7"/>
        <v>0</v>
      </c>
      <c r="H73" s="881">
        <f t="shared" si="8"/>
        <v>0</v>
      </c>
      <c r="I73" s="1319"/>
      <c r="J73" s="1316">
        <v>12010</v>
      </c>
      <c r="K73" s="1316"/>
      <c r="L73" s="1316"/>
      <c r="M73" s="882">
        <f t="shared" si="9"/>
        <v>12010</v>
      </c>
      <c r="N73" s="1316">
        <v>12010</v>
      </c>
      <c r="O73" s="881">
        <f t="shared" si="13"/>
        <v>1</v>
      </c>
      <c r="P73" s="1316">
        <v>12010</v>
      </c>
      <c r="Q73" s="881">
        <f t="shared" si="14"/>
        <v>1</v>
      </c>
      <c r="R73" s="1065"/>
      <c r="S73" s="1321"/>
      <c r="AT73" s="296" t="str">
        <f t="shared" si="10"/>
        <v>42301-Directa</v>
      </c>
    </row>
    <row r="74" spans="1:46" ht="15" x14ac:dyDescent="0.25">
      <c r="A74" s="920">
        <v>4233</v>
      </c>
      <c r="B74" s="887" t="s">
        <v>1460</v>
      </c>
      <c r="C74" s="1316">
        <v>12011</v>
      </c>
      <c r="D74" s="881">
        <f t="shared" si="11"/>
        <v>1.2011E-6</v>
      </c>
      <c r="E74" s="1316">
        <v>12011</v>
      </c>
      <c r="F74" s="881">
        <f t="shared" si="12"/>
        <v>1.0009166666666667E-6</v>
      </c>
      <c r="G74" s="882">
        <f t="shared" si="7"/>
        <v>0</v>
      </c>
      <c r="H74" s="881">
        <f t="shared" si="8"/>
        <v>0</v>
      </c>
      <c r="I74" s="1319"/>
      <c r="J74" s="1316">
        <v>12011</v>
      </c>
      <c r="K74" s="1316"/>
      <c r="L74" s="1316"/>
      <c r="M74" s="882">
        <f t="shared" si="9"/>
        <v>12011</v>
      </c>
      <c r="N74" s="1316">
        <v>12011</v>
      </c>
      <c r="O74" s="881">
        <f t="shared" si="13"/>
        <v>1</v>
      </c>
      <c r="P74" s="1316">
        <v>12011</v>
      </c>
      <c r="Q74" s="881">
        <f t="shared" si="14"/>
        <v>1</v>
      </c>
      <c r="R74" s="1065"/>
      <c r="S74" s="1321"/>
      <c r="AT74" s="296" t="str">
        <f t="shared" si="10"/>
        <v>4233-Transferencias CORRIENTES</v>
      </c>
    </row>
    <row r="75" spans="1:46" ht="15" x14ac:dyDescent="0.25">
      <c r="A75" s="920">
        <v>423301</v>
      </c>
      <c r="B75" s="887" t="s">
        <v>1490</v>
      </c>
      <c r="C75" s="1316">
        <v>12012</v>
      </c>
      <c r="D75" s="881">
        <f t="shared" si="11"/>
        <v>1.2012E-6</v>
      </c>
      <c r="E75" s="1316">
        <v>12012</v>
      </c>
      <c r="F75" s="881">
        <f t="shared" si="12"/>
        <v>1.001E-6</v>
      </c>
      <c r="G75" s="882">
        <f t="shared" si="7"/>
        <v>0</v>
      </c>
      <c r="H75" s="881">
        <f t="shared" si="8"/>
        <v>0</v>
      </c>
      <c r="I75" s="1319"/>
      <c r="J75" s="1316">
        <v>12012</v>
      </c>
      <c r="K75" s="1316"/>
      <c r="L75" s="1316"/>
      <c r="M75" s="882">
        <f t="shared" si="9"/>
        <v>12012</v>
      </c>
      <c r="N75" s="1316">
        <v>12012</v>
      </c>
      <c r="O75" s="881">
        <f t="shared" si="13"/>
        <v>1</v>
      </c>
      <c r="P75" s="1316">
        <v>12012</v>
      </c>
      <c r="Q75" s="881">
        <f t="shared" si="14"/>
        <v>1</v>
      </c>
      <c r="R75" s="1065"/>
      <c r="S75" s="1321"/>
      <c r="AT75" s="296" t="str">
        <f t="shared" si="10"/>
        <v>423301-Subvenciones</v>
      </c>
    </row>
    <row r="76" spans="1:46" ht="15" x14ac:dyDescent="0.25">
      <c r="A76" s="920">
        <v>423302</v>
      </c>
      <c r="B76" s="887" t="s">
        <v>1492</v>
      </c>
      <c r="C76" s="1316">
        <v>12013</v>
      </c>
      <c r="D76" s="881">
        <f t="shared" si="11"/>
        <v>1.2013E-6</v>
      </c>
      <c r="E76" s="1316">
        <v>12013</v>
      </c>
      <c r="F76" s="881">
        <f t="shared" si="12"/>
        <v>1.0010833333333333E-6</v>
      </c>
      <c r="G76" s="882">
        <f t="shared" si="7"/>
        <v>0</v>
      </c>
      <c r="H76" s="881">
        <f t="shared" si="8"/>
        <v>0</v>
      </c>
      <c r="I76" s="1319"/>
      <c r="J76" s="1316">
        <v>12013</v>
      </c>
      <c r="K76" s="1316"/>
      <c r="L76" s="1316"/>
      <c r="M76" s="882">
        <f t="shared" si="9"/>
        <v>12013</v>
      </c>
      <c r="N76" s="1316">
        <v>12013</v>
      </c>
      <c r="O76" s="881">
        <f t="shared" si="13"/>
        <v>1</v>
      </c>
      <c r="P76" s="1316">
        <v>12013</v>
      </c>
      <c r="Q76" s="881">
        <f t="shared" si="14"/>
        <v>1</v>
      </c>
      <c r="R76" s="1065"/>
      <c r="S76" s="1321"/>
      <c r="AT76" s="296" t="str">
        <f t="shared" si="10"/>
        <v>423302-A empresas diferentes de subvenciones</v>
      </c>
    </row>
    <row r="77" spans="1:46" ht="15" x14ac:dyDescent="0.25">
      <c r="A77" s="920">
        <v>423305</v>
      </c>
      <c r="B77" s="887" t="s">
        <v>1464</v>
      </c>
      <c r="C77" s="1316">
        <v>12014</v>
      </c>
      <c r="D77" s="881">
        <f t="shared" si="11"/>
        <v>1.2014000000000001E-6</v>
      </c>
      <c r="E77" s="1316">
        <v>12014</v>
      </c>
      <c r="F77" s="881">
        <f t="shared" si="12"/>
        <v>1.0011666666666666E-6</v>
      </c>
      <c r="G77" s="882">
        <f t="shared" si="7"/>
        <v>0</v>
      </c>
      <c r="H77" s="881">
        <f t="shared" si="8"/>
        <v>0</v>
      </c>
      <c r="I77" s="1319"/>
      <c r="J77" s="1316">
        <v>12014</v>
      </c>
      <c r="K77" s="1316"/>
      <c r="L77" s="1316"/>
      <c r="M77" s="882">
        <f t="shared" si="9"/>
        <v>12014</v>
      </c>
      <c r="N77" s="1316">
        <v>12014</v>
      </c>
      <c r="O77" s="881">
        <f t="shared" si="13"/>
        <v>1</v>
      </c>
      <c r="P77" s="1316">
        <v>12014</v>
      </c>
      <c r="Q77" s="881">
        <f t="shared" si="14"/>
        <v>1</v>
      </c>
      <c r="R77" s="1065"/>
      <c r="S77" s="1321"/>
      <c r="AT77" s="296" t="str">
        <f t="shared" si="10"/>
        <v>423305-A entidades del gobierno</v>
      </c>
    </row>
    <row r="78" spans="1:46" ht="15" x14ac:dyDescent="0.25">
      <c r="A78" s="920">
        <v>423307</v>
      </c>
      <c r="B78" s="887" t="s">
        <v>1497</v>
      </c>
      <c r="C78" s="1316">
        <v>12015</v>
      </c>
      <c r="D78" s="881">
        <f t="shared" si="11"/>
        <v>1.2015000000000001E-6</v>
      </c>
      <c r="E78" s="1316">
        <v>12015</v>
      </c>
      <c r="F78" s="881">
        <f t="shared" si="12"/>
        <v>1.0012499999999999E-6</v>
      </c>
      <c r="G78" s="882">
        <f t="shared" si="7"/>
        <v>0</v>
      </c>
      <c r="H78" s="881">
        <f t="shared" si="8"/>
        <v>0</v>
      </c>
      <c r="I78" s="1319"/>
      <c r="J78" s="1316">
        <v>12015</v>
      </c>
      <c r="K78" s="1316"/>
      <c r="L78" s="1316"/>
      <c r="M78" s="882">
        <f t="shared" si="9"/>
        <v>12015</v>
      </c>
      <c r="N78" s="1316">
        <v>12015</v>
      </c>
      <c r="O78" s="881">
        <f t="shared" si="13"/>
        <v>1</v>
      </c>
      <c r="P78" s="1316">
        <v>12015</v>
      </c>
      <c r="Q78" s="881">
        <f t="shared" si="14"/>
        <v>1</v>
      </c>
      <c r="R78" s="1065"/>
      <c r="S78" s="1321"/>
      <c r="AT78" s="296" t="str">
        <f t="shared" si="10"/>
        <v>423307-Prestaciones para cubrir riesgos sociales</v>
      </c>
    </row>
    <row r="79" spans="1:46" ht="15" x14ac:dyDescent="0.25">
      <c r="A79" s="920">
        <v>423313</v>
      </c>
      <c r="B79" s="887" t="s">
        <v>1500</v>
      </c>
      <c r="C79" s="1316">
        <v>12016</v>
      </c>
      <c r="D79" s="881">
        <f t="shared" si="11"/>
        <v>1.2016000000000001E-6</v>
      </c>
      <c r="E79" s="1316">
        <v>12016</v>
      </c>
      <c r="F79" s="881">
        <f t="shared" si="12"/>
        <v>1.0013333333333332E-6</v>
      </c>
      <c r="G79" s="882">
        <f t="shared" si="7"/>
        <v>0</v>
      </c>
      <c r="H79" s="881">
        <f t="shared" si="8"/>
        <v>0</v>
      </c>
      <c r="I79" s="1319"/>
      <c r="J79" s="1316">
        <v>12016</v>
      </c>
      <c r="K79" s="1316"/>
      <c r="L79" s="1316"/>
      <c r="M79" s="882">
        <f t="shared" si="9"/>
        <v>12016</v>
      </c>
      <c r="N79" s="1316">
        <v>12016</v>
      </c>
      <c r="O79" s="881">
        <f t="shared" si="13"/>
        <v>1</v>
      </c>
      <c r="P79" s="1316">
        <v>12016</v>
      </c>
      <c r="Q79" s="881">
        <f t="shared" si="14"/>
        <v>1</v>
      </c>
      <c r="R79" s="1065"/>
      <c r="S79" s="1321"/>
      <c r="AT79" s="296" t="str">
        <f t="shared" si="10"/>
        <v>423313-Sentencias y conciliaciones</v>
      </c>
    </row>
    <row r="80" spans="1:46" ht="15" x14ac:dyDescent="0.25">
      <c r="A80" s="920">
        <v>4234</v>
      </c>
      <c r="B80" s="887" t="s">
        <v>1503</v>
      </c>
      <c r="C80" s="1316">
        <v>12017</v>
      </c>
      <c r="D80" s="881">
        <f t="shared" si="11"/>
        <v>1.2017000000000001E-6</v>
      </c>
      <c r="E80" s="1316">
        <v>12017</v>
      </c>
      <c r="F80" s="881">
        <f t="shared" si="12"/>
        <v>1.0014166666666668E-6</v>
      </c>
      <c r="G80" s="882">
        <f t="shared" si="7"/>
        <v>0</v>
      </c>
      <c r="H80" s="881">
        <f t="shared" si="8"/>
        <v>0</v>
      </c>
      <c r="I80" s="1319"/>
      <c r="J80" s="1316">
        <v>12017</v>
      </c>
      <c r="K80" s="1316"/>
      <c r="L80" s="1316"/>
      <c r="M80" s="882">
        <f t="shared" si="9"/>
        <v>12017</v>
      </c>
      <c r="N80" s="1316">
        <v>12017</v>
      </c>
      <c r="O80" s="881">
        <f t="shared" si="13"/>
        <v>1</v>
      </c>
      <c r="P80" s="1316">
        <v>12017</v>
      </c>
      <c r="Q80" s="881">
        <f t="shared" si="14"/>
        <v>1</v>
      </c>
      <c r="R80" s="1065"/>
      <c r="S80" s="1321"/>
      <c r="AT80" s="296" t="str">
        <f t="shared" si="10"/>
        <v>4234-Transferencias para INVERSIÓN</v>
      </c>
    </row>
    <row r="81" spans="1:46" ht="15" x14ac:dyDescent="0.25">
      <c r="A81" s="920">
        <v>423401</v>
      </c>
      <c r="B81" s="887" t="s">
        <v>1506</v>
      </c>
      <c r="C81" s="1316">
        <v>12018</v>
      </c>
      <c r="D81" s="881">
        <f t="shared" si="11"/>
        <v>1.2018000000000001E-6</v>
      </c>
      <c r="E81" s="1316">
        <v>12018</v>
      </c>
      <c r="F81" s="881">
        <f t="shared" si="12"/>
        <v>1.0015000000000001E-6</v>
      </c>
      <c r="G81" s="882">
        <f t="shared" si="7"/>
        <v>0</v>
      </c>
      <c r="H81" s="881">
        <f t="shared" si="8"/>
        <v>0</v>
      </c>
      <c r="I81" s="1319"/>
      <c r="J81" s="1316">
        <v>12018</v>
      </c>
      <c r="K81" s="1316"/>
      <c r="L81" s="1316"/>
      <c r="M81" s="882">
        <f t="shared" si="9"/>
        <v>12018</v>
      </c>
      <c r="N81" s="1316">
        <v>12018</v>
      </c>
      <c r="O81" s="881">
        <f t="shared" si="13"/>
        <v>1</v>
      </c>
      <c r="P81" s="1316">
        <v>12018</v>
      </c>
      <c r="Q81" s="881">
        <f t="shared" si="14"/>
        <v>1</v>
      </c>
      <c r="R81" s="1065"/>
      <c r="S81" s="1321"/>
      <c r="AT81" s="296" t="str">
        <f t="shared" si="10"/>
        <v>423401-Transferencia Distrital</v>
      </c>
    </row>
    <row r="82" spans="1:46" s="756" customFormat="1" ht="15" x14ac:dyDescent="0.25">
      <c r="A82" s="921">
        <v>44</v>
      </c>
      <c r="B82" s="780" t="s">
        <v>1510</v>
      </c>
      <c r="C82" s="1315">
        <v>12019</v>
      </c>
      <c r="D82" s="878">
        <f t="shared" si="11"/>
        <v>1.2019000000000001E-6</v>
      </c>
      <c r="E82" s="1315">
        <v>12019</v>
      </c>
      <c r="F82" s="878">
        <f t="shared" si="12"/>
        <v>1.0015833333333334E-6</v>
      </c>
      <c r="G82" s="879">
        <f t="shared" si="7"/>
        <v>0</v>
      </c>
      <c r="H82" s="878">
        <f t="shared" si="8"/>
        <v>0</v>
      </c>
      <c r="I82" s="1318"/>
      <c r="J82" s="1315">
        <v>12019</v>
      </c>
      <c r="K82" s="1315"/>
      <c r="L82" s="1315"/>
      <c r="M82" s="879">
        <f t="shared" si="9"/>
        <v>12019</v>
      </c>
      <c r="N82" s="1315">
        <v>12019</v>
      </c>
      <c r="O82" s="878">
        <f t="shared" si="13"/>
        <v>1</v>
      </c>
      <c r="P82" s="1315">
        <v>12019</v>
      </c>
      <c r="Q82" s="878">
        <f t="shared" si="14"/>
        <v>1</v>
      </c>
      <c r="R82" s="1244"/>
      <c r="S82" s="1320"/>
      <c r="AT82" s="750" t="str">
        <f t="shared" si="10"/>
        <v>44-DISPONIBILIDAD FINAL</v>
      </c>
    </row>
    <row r="83" spans="1:46" ht="15.75" thickBot="1" x14ac:dyDescent="0.3">
      <c r="A83" s="920">
        <v>0</v>
      </c>
      <c r="B83" s="887">
        <v>0</v>
      </c>
      <c r="C83" s="1317">
        <v>12019</v>
      </c>
      <c r="D83" s="883">
        <f t="shared" si="11"/>
        <v>1.2019000000000001E-6</v>
      </c>
      <c r="E83" s="1317">
        <v>12000</v>
      </c>
      <c r="F83" s="883">
        <f t="shared" si="12"/>
        <v>9.9999999999999995E-7</v>
      </c>
      <c r="G83" s="884">
        <f t="shared" si="7"/>
        <v>-19</v>
      </c>
      <c r="H83" s="883">
        <f t="shared" si="8"/>
        <v>-1.5833333333333333E-3</v>
      </c>
      <c r="I83" s="1326"/>
      <c r="J83" s="1317">
        <v>12000</v>
      </c>
      <c r="K83" s="1317"/>
      <c r="L83" s="1317"/>
      <c r="M83" s="884">
        <f t="shared" si="9"/>
        <v>12000</v>
      </c>
      <c r="N83" s="1317">
        <v>12000</v>
      </c>
      <c r="O83" s="883">
        <f t="shared" si="13"/>
        <v>1</v>
      </c>
      <c r="P83" s="1317">
        <v>12000</v>
      </c>
      <c r="Q83" s="883">
        <f t="shared" si="14"/>
        <v>1</v>
      </c>
      <c r="R83" s="1065"/>
      <c r="S83" s="1323"/>
      <c r="AT83" s="296" t="str">
        <f>CONCATENATE(A83,"-",B83)</f>
        <v>0-0</v>
      </c>
    </row>
    <row r="84" spans="1:46" ht="15" customHeight="1" x14ac:dyDescent="0.25">
      <c r="A84" s="2251" t="s">
        <v>1594</v>
      </c>
      <c r="B84" s="2252"/>
      <c r="C84" s="2255" t="s">
        <v>1563</v>
      </c>
      <c r="D84" s="2255"/>
      <c r="E84" s="2255"/>
      <c r="F84" s="2255"/>
      <c r="G84" s="2255"/>
      <c r="H84" s="2255"/>
      <c r="I84" s="2255"/>
      <c r="J84" s="2257" t="s">
        <v>1564</v>
      </c>
      <c r="K84" s="2255"/>
      <c r="L84" s="2255"/>
      <c r="M84" s="2255"/>
      <c r="N84" s="2255"/>
      <c r="O84" s="2255"/>
      <c r="P84" s="2255"/>
      <c r="Q84" s="2255"/>
      <c r="R84" s="2258"/>
      <c r="S84" s="875"/>
      <c r="AT84" s="296"/>
    </row>
    <row r="85" spans="1:46" ht="45" customHeight="1" thickBot="1" x14ac:dyDescent="0.3">
      <c r="A85" s="2253"/>
      <c r="B85" s="2254"/>
      <c r="C85" s="2256"/>
      <c r="D85" s="2256"/>
      <c r="E85" s="2256"/>
      <c r="F85" s="2256"/>
      <c r="G85" s="2256"/>
      <c r="H85" s="2256"/>
      <c r="I85" s="2256"/>
      <c r="J85" s="2259"/>
      <c r="K85" s="2256"/>
      <c r="L85" s="2256"/>
      <c r="M85" s="2256"/>
      <c r="N85" s="2256"/>
      <c r="O85" s="2256"/>
      <c r="P85" s="2256"/>
      <c r="Q85" s="2256"/>
      <c r="R85" s="2256"/>
      <c r="S85" s="876" t="s">
        <v>1565</v>
      </c>
    </row>
    <row r="86" spans="1:46" ht="24" customHeight="1" x14ac:dyDescent="0.25">
      <c r="A86" s="2249" t="s">
        <v>1595</v>
      </c>
      <c r="B86" s="2240" t="s">
        <v>1596</v>
      </c>
      <c r="C86" s="2249" t="s">
        <v>1584</v>
      </c>
      <c r="D86" s="2238" t="s">
        <v>1585</v>
      </c>
      <c r="E86" s="2238" t="s">
        <v>1586</v>
      </c>
      <c r="F86" s="2238" t="s">
        <v>1587</v>
      </c>
      <c r="G86" s="2238" t="s">
        <v>1571</v>
      </c>
      <c r="H86" s="2238" t="s">
        <v>1572</v>
      </c>
      <c r="I86" s="2240" t="s">
        <v>1573</v>
      </c>
      <c r="J86" s="2249" t="s">
        <v>1574</v>
      </c>
      <c r="K86" s="2238" t="s">
        <v>1575</v>
      </c>
      <c r="L86" s="2238"/>
      <c r="M86" s="2238" t="s">
        <v>1588</v>
      </c>
      <c r="N86" s="2238" t="s">
        <v>1589</v>
      </c>
      <c r="O86" s="2238" t="s">
        <v>1590</v>
      </c>
      <c r="P86" s="2238" t="s">
        <v>1591</v>
      </c>
      <c r="Q86" s="2238" t="s">
        <v>1592</v>
      </c>
      <c r="R86" s="2238" t="s">
        <v>1579</v>
      </c>
      <c r="S86" s="2240" t="s">
        <v>1593</v>
      </c>
    </row>
    <row r="87" spans="1:46" ht="45" customHeight="1" thickBot="1" x14ac:dyDescent="0.3">
      <c r="A87" s="2250"/>
      <c r="B87" s="2241"/>
      <c r="C87" s="2250"/>
      <c r="D87" s="2239"/>
      <c r="E87" s="2239"/>
      <c r="F87" s="2239"/>
      <c r="G87" s="2239"/>
      <c r="H87" s="2239"/>
      <c r="I87" s="2241"/>
      <c r="J87" s="2250"/>
      <c r="K87" s="877" t="s">
        <v>1581</v>
      </c>
      <c r="L87" s="877" t="s">
        <v>1582</v>
      </c>
      <c r="M87" s="2239"/>
      <c r="N87" s="2239"/>
      <c r="O87" s="2239"/>
      <c r="P87" s="2239"/>
      <c r="Q87" s="2239"/>
      <c r="R87" s="2239"/>
      <c r="S87" s="2241"/>
    </row>
    <row r="88" spans="1:46" s="756" customFormat="1" ht="18" customHeight="1" x14ac:dyDescent="0.25">
      <c r="A88" s="921">
        <v>45</v>
      </c>
      <c r="B88" s="888" t="s">
        <v>794</v>
      </c>
      <c r="C88" s="1315">
        <v>120000000</v>
      </c>
      <c r="D88" s="878">
        <f>IF(C88="","",C88/$C$88)</f>
        <v>1</v>
      </c>
      <c r="E88" s="1315">
        <v>120000</v>
      </c>
      <c r="F88" s="878">
        <f>IF(E88="","",E88/$E$88)</f>
        <v>1</v>
      </c>
      <c r="G88" s="879">
        <f t="shared" ref="G88:G96" si="15">IF(AND(C88="",E88=""),"",E88-C88)</f>
        <v>-119880000</v>
      </c>
      <c r="H88" s="878">
        <f t="shared" ref="H88:H95" si="16">IF(E88="",G88/C88,G88/E88)</f>
        <v>-999</v>
      </c>
      <c r="I88" s="1318"/>
      <c r="J88" s="1315">
        <v>12000</v>
      </c>
      <c r="K88" s="1315"/>
      <c r="L88" s="1315"/>
      <c r="M88" s="923">
        <f t="shared" ref="M88:M96" si="17">IF(J88="","",J88-K88+L88)</f>
        <v>12000</v>
      </c>
      <c r="N88" s="1315">
        <v>255555555</v>
      </c>
      <c r="O88" s="878">
        <f t="shared" ref="O88:O96" si="18">IF(OR(E88="",N88=""),"",N88/E88)</f>
        <v>2129.629625</v>
      </c>
      <c r="P88" s="1315">
        <v>12000</v>
      </c>
      <c r="Q88" s="878">
        <f t="shared" ref="Q88:Q96" si="19">IF(OR(E88="",P88=""),"",P88/E88)</f>
        <v>0.1</v>
      </c>
      <c r="R88" s="1244"/>
      <c r="S88" s="1318"/>
      <c r="AT88" s="750" t="str">
        <f t="shared" ref="AT88:AT96" si="20">CONCATENATE(A88,"-",B88)</f>
        <v>45-GASTOS DE COMERCIALIZACIÓN Y PRODUCCIÓN</v>
      </c>
    </row>
    <row r="89" spans="1:46" s="756" customFormat="1" ht="18" customHeight="1" x14ac:dyDescent="0.25">
      <c r="A89" s="921">
        <v>4501</v>
      </c>
      <c r="B89" s="888" t="s">
        <v>794</v>
      </c>
      <c r="C89" s="1315">
        <v>120000000</v>
      </c>
      <c r="D89" s="878">
        <f>IF(C89="","",C89/$C$88)</f>
        <v>1</v>
      </c>
      <c r="E89" s="1315">
        <v>12000</v>
      </c>
      <c r="F89" s="878">
        <f>IF(E89="","",E89/$E$88)</f>
        <v>0.1</v>
      </c>
      <c r="G89" s="879">
        <f t="shared" si="15"/>
        <v>-119988000</v>
      </c>
      <c r="H89" s="878">
        <f t="shared" si="16"/>
        <v>-9999</v>
      </c>
      <c r="I89" s="1318"/>
      <c r="J89" s="1315">
        <v>12000</v>
      </c>
      <c r="K89" s="1315"/>
      <c r="L89" s="1315"/>
      <c r="M89" s="923">
        <f t="shared" si="17"/>
        <v>12000</v>
      </c>
      <c r="N89" s="1315">
        <v>12000</v>
      </c>
      <c r="O89" s="878">
        <f t="shared" si="18"/>
        <v>1</v>
      </c>
      <c r="P89" s="1315">
        <v>12000</v>
      </c>
      <c r="Q89" s="878">
        <f t="shared" si="19"/>
        <v>1</v>
      </c>
      <c r="R89" s="1244"/>
      <c r="S89" s="1318"/>
      <c r="AT89" s="750" t="str">
        <f t="shared" si="20"/>
        <v>4501-GASTOS DE COMERCIALIZACIÓN Y PRODUCCIÓN</v>
      </c>
    </row>
    <row r="90" spans="1:46" ht="18" customHeight="1" x14ac:dyDescent="0.25">
      <c r="A90" s="920">
        <v>450101</v>
      </c>
      <c r="B90" s="922" t="s">
        <v>1640</v>
      </c>
      <c r="C90" s="1316">
        <v>120000000</v>
      </c>
      <c r="D90" s="881">
        <f>IF(C90="","",C90/$C$88)</f>
        <v>1</v>
      </c>
      <c r="E90" s="1316">
        <v>12000</v>
      </c>
      <c r="F90" s="881">
        <f>IF(E90="","",E90/$E$88)</f>
        <v>0.1</v>
      </c>
      <c r="G90" s="882">
        <f t="shared" si="15"/>
        <v>-119988000</v>
      </c>
      <c r="H90" s="881">
        <f t="shared" si="16"/>
        <v>-9999</v>
      </c>
      <c r="I90" s="1319"/>
      <c r="J90" s="1316">
        <v>12000</v>
      </c>
      <c r="K90" s="1316"/>
      <c r="L90" s="1316"/>
      <c r="M90" s="924">
        <f t="shared" si="17"/>
        <v>12000</v>
      </c>
      <c r="N90" s="1316">
        <v>12000</v>
      </c>
      <c r="O90" s="881">
        <f t="shared" si="18"/>
        <v>1</v>
      </c>
      <c r="P90" s="1316">
        <v>12000</v>
      </c>
      <c r="Q90" s="881">
        <f t="shared" si="19"/>
        <v>1</v>
      </c>
      <c r="R90" s="1547"/>
      <c r="S90" s="1319"/>
      <c r="AT90" s="1235" t="str">
        <f t="shared" si="20"/>
        <v>450101-Materiales y suministros</v>
      </c>
    </row>
    <row r="91" spans="1:46" ht="18" customHeight="1" x14ac:dyDescent="0.25">
      <c r="A91" s="920">
        <v>0</v>
      </c>
      <c r="B91" s="922" t="s">
        <v>797</v>
      </c>
      <c r="C91" s="1316">
        <v>1201800</v>
      </c>
      <c r="D91" s="881">
        <f t="shared" ref="D91:D96" si="21">IF(C91="","",C91/C91)</f>
        <v>1</v>
      </c>
      <c r="E91" s="1316">
        <v>1500000</v>
      </c>
      <c r="F91" s="881">
        <f t="shared" ref="F91:F96" si="22">IF(E91="","",E91/E91)</f>
        <v>1</v>
      </c>
      <c r="G91" s="882">
        <f t="shared" si="15"/>
        <v>298200</v>
      </c>
      <c r="H91" s="881">
        <f t="shared" si="16"/>
        <v>0.1988</v>
      </c>
      <c r="I91" s="1319"/>
      <c r="J91" s="1316">
        <v>12000</v>
      </c>
      <c r="K91" s="1316"/>
      <c r="L91" s="1316"/>
      <c r="M91" s="924">
        <f t="shared" si="17"/>
        <v>12000</v>
      </c>
      <c r="N91" s="1316">
        <v>120000000</v>
      </c>
      <c r="O91" s="881">
        <f t="shared" si="18"/>
        <v>80</v>
      </c>
      <c r="P91" s="1316">
        <v>12000</v>
      </c>
      <c r="Q91" s="881">
        <f t="shared" si="19"/>
        <v>8.0000000000000002E-3</v>
      </c>
      <c r="R91" s="1547"/>
      <c r="S91" s="1319"/>
      <c r="AT91" s="1235" t="str">
        <f t="shared" si="20"/>
        <v>0-RESERVAS PRESUPUESTALES CONSTITUIDAS</v>
      </c>
    </row>
    <row r="92" spans="1:46" ht="18" customHeight="1" x14ac:dyDescent="0.25">
      <c r="A92" s="920">
        <v>0</v>
      </c>
      <c r="B92" s="922" t="s">
        <v>798</v>
      </c>
      <c r="C92" s="1316">
        <v>1201800</v>
      </c>
      <c r="D92" s="881">
        <f t="shared" si="21"/>
        <v>1</v>
      </c>
      <c r="E92" s="1316">
        <v>1500000</v>
      </c>
      <c r="F92" s="881">
        <f t="shared" si="22"/>
        <v>1</v>
      </c>
      <c r="G92" s="882">
        <f t="shared" si="15"/>
        <v>298200</v>
      </c>
      <c r="H92" s="881">
        <f t="shared" si="16"/>
        <v>0.1988</v>
      </c>
      <c r="I92" s="1319"/>
      <c r="J92" s="1316">
        <v>12001</v>
      </c>
      <c r="K92" s="1316"/>
      <c r="L92" s="1316"/>
      <c r="M92" s="924">
        <f t="shared" si="17"/>
        <v>12001</v>
      </c>
      <c r="N92" s="1316">
        <v>120000000</v>
      </c>
      <c r="O92" s="881">
        <f t="shared" si="18"/>
        <v>80</v>
      </c>
      <c r="P92" s="1316">
        <v>12001</v>
      </c>
      <c r="Q92" s="881">
        <f t="shared" si="19"/>
        <v>8.0006666666666663E-3</v>
      </c>
      <c r="R92" s="1547"/>
      <c r="S92" s="1319"/>
      <c r="AT92" s="1235" t="str">
        <f t="shared" si="20"/>
        <v>0-CUENTAS POR PAGAR</v>
      </c>
    </row>
    <row r="93" spans="1:46" ht="18" customHeight="1" x14ac:dyDescent="0.25">
      <c r="A93" s="920">
        <v>0</v>
      </c>
      <c r="B93" s="922" t="s">
        <v>799</v>
      </c>
      <c r="C93" s="1316">
        <v>150000000</v>
      </c>
      <c r="D93" s="881">
        <f t="shared" si="21"/>
        <v>1</v>
      </c>
      <c r="E93" s="1316">
        <v>1500000</v>
      </c>
      <c r="F93" s="881">
        <f t="shared" si="22"/>
        <v>1</v>
      </c>
      <c r="G93" s="882">
        <f t="shared" si="15"/>
        <v>-148500000</v>
      </c>
      <c r="H93" s="881">
        <f t="shared" si="16"/>
        <v>-99</v>
      </c>
      <c r="I93" s="1319"/>
      <c r="J93" s="1316">
        <v>12001</v>
      </c>
      <c r="K93" s="1316"/>
      <c r="L93" s="1316"/>
      <c r="M93" s="924">
        <f t="shared" si="17"/>
        <v>12001</v>
      </c>
      <c r="N93" s="1316">
        <v>120000000</v>
      </c>
      <c r="O93" s="881">
        <f t="shared" si="18"/>
        <v>80</v>
      </c>
      <c r="P93" s="1316">
        <v>12001</v>
      </c>
      <c r="Q93" s="881">
        <f t="shared" si="19"/>
        <v>8.0006666666666663E-3</v>
      </c>
      <c r="R93" s="1547"/>
      <c r="S93" s="1319"/>
      <c r="AT93" s="1235" t="str">
        <f t="shared" si="20"/>
        <v>0-OBLIGACIONES POR PAGAR</v>
      </c>
    </row>
    <row r="94" spans="1:46" ht="18" customHeight="1" x14ac:dyDescent="0.25">
      <c r="A94" s="920">
        <v>0</v>
      </c>
      <c r="B94" s="922" t="s">
        <v>520</v>
      </c>
      <c r="C94" s="1316">
        <v>1201800</v>
      </c>
      <c r="D94" s="881">
        <f t="shared" si="21"/>
        <v>1</v>
      </c>
      <c r="E94" s="1316">
        <v>1500000</v>
      </c>
      <c r="F94" s="881">
        <f t="shared" si="22"/>
        <v>1</v>
      </c>
      <c r="G94" s="882">
        <f t="shared" si="15"/>
        <v>298200</v>
      </c>
      <c r="H94" s="881">
        <f t="shared" si="16"/>
        <v>0.1988</v>
      </c>
      <c r="I94" s="1319"/>
      <c r="J94" s="1316">
        <v>12002</v>
      </c>
      <c r="K94" s="1316"/>
      <c r="L94" s="1316"/>
      <c r="M94" s="924">
        <f t="shared" si="17"/>
        <v>12002</v>
      </c>
      <c r="N94" s="1316">
        <v>120000000</v>
      </c>
      <c r="O94" s="881">
        <f t="shared" si="18"/>
        <v>80</v>
      </c>
      <c r="P94" s="1316">
        <v>12002</v>
      </c>
      <c r="Q94" s="881">
        <f t="shared" si="19"/>
        <v>8.0013333333333325E-3</v>
      </c>
      <c r="R94" s="1547"/>
      <c r="S94" s="1319"/>
      <c r="AT94" s="1235" t="str">
        <f t="shared" si="20"/>
        <v>0-PASIVOS EXIGIBLES</v>
      </c>
    </row>
    <row r="95" spans="1:46" ht="18" customHeight="1" x14ac:dyDescent="0.25">
      <c r="A95" s="920">
        <v>0</v>
      </c>
      <c r="B95" s="922" t="s">
        <v>527</v>
      </c>
      <c r="C95" s="1316">
        <v>520000</v>
      </c>
      <c r="D95" s="881">
        <f t="shared" si="21"/>
        <v>1</v>
      </c>
      <c r="E95" s="1316">
        <v>1500000</v>
      </c>
      <c r="F95" s="881">
        <f t="shared" si="22"/>
        <v>1</v>
      </c>
      <c r="G95" s="882">
        <f t="shared" si="15"/>
        <v>980000</v>
      </c>
      <c r="H95" s="881">
        <f t="shared" si="16"/>
        <v>0.65333333333333332</v>
      </c>
      <c r="I95" s="1319"/>
      <c r="J95" s="1316">
        <v>12003</v>
      </c>
      <c r="K95" s="1316"/>
      <c r="L95" s="1316"/>
      <c r="M95" s="924">
        <f t="shared" si="17"/>
        <v>12003</v>
      </c>
      <c r="N95" s="1316">
        <v>120000000</v>
      </c>
      <c r="O95" s="881">
        <f t="shared" si="18"/>
        <v>80</v>
      </c>
      <c r="P95" s="1316">
        <v>12003</v>
      </c>
      <c r="Q95" s="881">
        <f t="shared" si="19"/>
        <v>8.0020000000000004E-3</v>
      </c>
      <c r="R95" s="1547"/>
      <c r="S95" s="1319"/>
      <c r="AT95" s="1235" t="str">
        <f t="shared" si="20"/>
        <v>0-VIGENCIAS FUTURAS</v>
      </c>
    </row>
    <row r="96" spans="1:46" ht="18" customHeight="1" x14ac:dyDescent="0.25">
      <c r="A96" s="920">
        <v>0</v>
      </c>
      <c r="B96" s="922">
        <v>0</v>
      </c>
      <c r="C96" s="1316"/>
      <c r="D96" s="881" t="str">
        <f t="shared" si="21"/>
        <v/>
      </c>
      <c r="E96" s="1316"/>
      <c r="F96" s="881" t="str">
        <f t="shared" si="22"/>
        <v/>
      </c>
      <c r="G96" s="882" t="str">
        <f t="shared" si="15"/>
        <v/>
      </c>
      <c r="H96" s="881"/>
      <c r="I96" s="1319"/>
      <c r="J96" s="1316"/>
      <c r="K96" s="1316"/>
      <c r="L96" s="1316"/>
      <c r="M96" s="882" t="str">
        <f t="shared" si="17"/>
        <v/>
      </c>
      <c r="N96" s="1316"/>
      <c r="O96" s="881" t="str">
        <f t="shared" si="18"/>
        <v/>
      </c>
      <c r="P96" s="1316"/>
      <c r="Q96" s="881" t="str">
        <f t="shared" si="19"/>
        <v/>
      </c>
      <c r="R96" s="1547"/>
      <c r="S96" s="1319"/>
      <c r="AT96" s="1235" t="str">
        <f t="shared" si="20"/>
        <v>0-0</v>
      </c>
    </row>
    <row r="97" spans="1:46" ht="24" customHeight="1" x14ac:dyDescent="0.25">
      <c r="A97" s="2242" t="s">
        <v>1597</v>
      </c>
      <c r="B97" s="2242"/>
      <c r="C97" s="2243" t="s">
        <v>1598</v>
      </c>
      <c r="D97" s="2244"/>
      <c r="E97" s="2244"/>
      <c r="F97" s="2245"/>
      <c r="G97" s="1696"/>
      <c r="H97" s="1696"/>
      <c r="I97" s="1696"/>
      <c r="J97" s="1696"/>
      <c r="K97" s="1696"/>
      <c r="L97" s="1696"/>
      <c r="M97" s="1696"/>
      <c r="N97" s="1696"/>
      <c r="O97" s="1696"/>
      <c r="P97" s="1696"/>
      <c r="Q97" s="1696"/>
      <c r="R97" s="1696"/>
      <c r="S97" s="1696"/>
      <c r="AT97" s="296"/>
    </row>
    <row r="98" spans="1:46" ht="32.25" customHeight="1" x14ac:dyDescent="0.25">
      <c r="A98" s="2242"/>
      <c r="B98" s="2242"/>
      <c r="C98" s="2246"/>
      <c r="D98" s="2247"/>
      <c r="E98" s="2247"/>
      <c r="F98" s="2248"/>
      <c r="G98" s="1696"/>
      <c r="H98" s="1696"/>
      <c r="I98" s="1696"/>
      <c r="J98" s="1696"/>
      <c r="K98" s="1696"/>
      <c r="L98" s="1696"/>
      <c r="M98" s="1696"/>
      <c r="N98" s="1696"/>
      <c r="O98" s="1696"/>
      <c r="P98" s="1696"/>
      <c r="Q98" s="1696"/>
      <c r="R98" s="1696"/>
      <c r="S98" s="1696"/>
      <c r="AT98" s="296"/>
    </row>
    <row r="99" spans="1:46" ht="15" x14ac:dyDescent="0.25">
      <c r="A99" s="889"/>
      <c r="B99" s="889"/>
      <c r="C99" s="890"/>
      <c r="D99" s="890"/>
      <c r="E99" s="890"/>
      <c r="F99" s="890"/>
      <c r="G99" s="890"/>
      <c r="H99" s="890"/>
      <c r="I99" s="890"/>
      <c r="J99" s="890"/>
      <c r="K99" s="890"/>
      <c r="L99" s="890"/>
      <c r="M99" s="890"/>
      <c r="N99" s="890"/>
      <c r="O99" s="890"/>
      <c r="P99" s="890"/>
      <c r="Q99" s="890"/>
      <c r="R99" s="890"/>
      <c r="S99" s="890"/>
      <c r="AT99" s="296" t="str">
        <f>CONCATENATE(A96,"-",B96)</f>
        <v>0-0</v>
      </c>
    </row>
    <row r="100" spans="1:46" ht="15" thickBot="1" x14ac:dyDescent="0.3">
      <c r="A100" s="271"/>
      <c r="C100" s="271"/>
      <c r="D100" s="271"/>
      <c r="E100" s="271"/>
      <c r="F100" s="271"/>
      <c r="G100" s="605"/>
      <c r="H100" s="605"/>
      <c r="I100" s="605"/>
      <c r="J100" s="605"/>
      <c r="K100" s="605"/>
      <c r="L100" s="605"/>
      <c r="M100" s="605"/>
      <c r="N100" s="605"/>
      <c r="O100" s="605"/>
      <c r="P100" s="605"/>
      <c r="Q100" s="605"/>
      <c r="R100" s="605"/>
    </row>
    <row r="101" spans="1:46" ht="71.25" customHeight="1" x14ac:dyDescent="0.25">
      <c r="A101" s="2232" t="s">
        <v>670</v>
      </c>
      <c r="B101" s="2234"/>
      <c r="C101" s="2234"/>
      <c r="D101" s="2235"/>
      <c r="E101" s="271"/>
      <c r="F101" s="271"/>
      <c r="G101" s="758"/>
      <c r="H101" s="758"/>
      <c r="I101" s="758"/>
      <c r="J101" s="758"/>
      <c r="K101" s="758"/>
      <c r="L101" s="758"/>
      <c r="M101" s="758"/>
      <c r="N101" s="758"/>
      <c r="O101" s="758"/>
      <c r="P101" s="758"/>
      <c r="Q101" s="758"/>
      <c r="R101" s="710"/>
    </row>
    <row r="102" spans="1:46" ht="88.5" customHeight="1" thickBot="1" x14ac:dyDescent="0.3">
      <c r="A102" s="2233"/>
      <c r="B102" s="2236"/>
      <c r="C102" s="2236"/>
      <c r="D102" s="2237"/>
      <c r="E102" s="271"/>
      <c r="F102" s="271"/>
      <c r="G102" s="758"/>
      <c r="H102" s="758"/>
      <c r="I102" s="758"/>
      <c r="J102" s="758"/>
      <c r="K102" s="758"/>
      <c r="L102" s="758"/>
      <c r="M102" s="758"/>
      <c r="N102" s="758"/>
      <c r="O102" s="758"/>
      <c r="P102" s="758"/>
      <c r="Q102" s="758"/>
      <c r="R102" s="710"/>
    </row>
    <row r="103" spans="1:46" ht="15" thickBot="1" x14ac:dyDescent="0.3">
      <c r="A103" s="606"/>
      <c r="B103" s="712" t="s">
        <v>828</v>
      </c>
      <c r="C103" s="712" t="s">
        <v>1335</v>
      </c>
      <c r="D103" s="606"/>
    </row>
    <row r="104" spans="1:46" ht="33" customHeight="1" x14ac:dyDescent="0.25">
      <c r="A104" s="2230" t="s">
        <v>671</v>
      </c>
      <c r="B104" s="1328"/>
      <c r="C104" s="1329"/>
      <c r="D104" s="606"/>
      <c r="E104" s="891"/>
    </row>
    <row r="105" spans="1:46" ht="33" customHeight="1" x14ac:dyDescent="0.25">
      <c r="A105" s="2231"/>
      <c r="B105" s="1330"/>
      <c r="C105" s="1331"/>
      <c r="D105" s="606"/>
      <c r="E105" s="891"/>
    </row>
    <row r="106" spans="1:46" ht="34.5" customHeight="1" thickBot="1" x14ac:dyDescent="0.3">
      <c r="A106" s="2231"/>
      <c r="B106" s="1332"/>
      <c r="C106" s="1333"/>
      <c r="D106" s="606"/>
    </row>
    <row r="107" spans="1:46" ht="34.5" customHeight="1" x14ac:dyDescent="0.25">
      <c r="A107" s="1894" t="s">
        <v>1336</v>
      </c>
      <c r="B107" s="1334"/>
      <c r="C107" s="1329"/>
      <c r="D107" s="606"/>
    </row>
    <row r="108" spans="1:46" ht="34.5" customHeight="1" x14ac:dyDescent="0.25">
      <c r="A108" s="1895"/>
      <c r="B108" s="1335"/>
      <c r="C108" s="1331"/>
      <c r="D108" s="606"/>
    </row>
    <row r="109" spans="1:46" ht="34.5" customHeight="1" thickBot="1" x14ac:dyDescent="0.3">
      <c r="A109" s="1896"/>
      <c r="B109" s="1336"/>
      <c r="C109" s="1337"/>
      <c r="D109" s="606"/>
    </row>
    <row r="110" spans="1:46" ht="96" customHeight="1" thickBot="1" x14ac:dyDescent="0.3">
      <c r="A110" s="1338" t="s">
        <v>1337</v>
      </c>
      <c r="B110" s="1339"/>
      <c r="C110" s="1340"/>
      <c r="D110" s="606"/>
    </row>
    <row r="111" spans="1:46" ht="34.5" customHeight="1" thickBot="1" x14ac:dyDescent="0.3">
      <c r="A111" s="1341" t="s">
        <v>672</v>
      </c>
      <c r="B111" s="1342"/>
      <c r="C111" s="1343"/>
      <c r="D111" s="606"/>
    </row>
    <row r="112" spans="1:46" x14ac:dyDescent="0.25">
      <c r="A112" s="708"/>
      <c r="B112" s="707"/>
    </row>
    <row r="113" spans="1:5" ht="36" customHeight="1" x14ac:dyDescent="0.25">
      <c r="A113" s="2216" t="s">
        <v>1599</v>
      </c>
      <c r="B113" s="2216"/>
      <c r="C113" s="2216"/>
      <c r="D113" s="2216"/>
      <c r="E113" s="2216"/>
    </row>
    <row r="114" spans="1:5" ht="15" x14ac:dyDescent="0.25">
      <c r="A114" s="605" t="s">
        <v>1600</v>
      </c>
      <c r="B114" s="605"/>
      <c r="C114" s="605"/>
      <c r="D114" s="605"/>
    </row>
    <row r="115" spans="1:5" ht="15" x14ac:dyDescent="0.25">
      <c r="A115" s="605" t="s">
        <v>1601</v>
      </c>
      <c r="B115" s="605"/>
      <c r="C115" s="605"/>
      <c r="D115" s="605"/>
    </row>
    <row r="116" spans="1:5" ht="15.75" customHeight="1" x14ac:dyDescent="0.25">
      <c r="A116" s="294" t="s">
        <v>1602</v>
      </c>
    </row>
  </sheetData>
  <sheetProtection algorithmName="SHA-512" hashValue="lG3BYBGO3y7GcDcG+mG7bS6AiVN+Jj5Yx2cbN4NFhAexGaJ3RMtJ+0X9Cn7rSskakDrZZl1vgpcodXJLzJypKQ==" saltValue="AqcL84TMHKSJzS4FvgbxQQ==" spinCount="100000" sheet="1" formatRows="0" insertRows="0" pivotTables="0"/>
  <mergeCells count="115">
    <mergeCell ref="S1:S2"/>
    <mergeCell ref="B7:C7"/>
    <mergeCell ref="B8:C8"/>
    <mergeCell ref="F8:G8"/>
    <mergeCell ref="B9:C9"/>
    <mergeCell ref="F9:G9"/>
    <mergeCell ref="A4:G4"/>
    <mergeCell ref="A5:G5"/>
    <mergeCell ref="S15:S16"/>
    <mergeCell ref="B1:R2"/>
    <mergeCell ref="B10:C10"/>
    <mergeCell ref="F10:G10"/>
    <mergeCell ref="A1:A2"/>
    <mergeCell ref="A13:B14"/>
    <mergeCell ref="C13:I14"/>
    <mergeCell ref="J13:R14"/>
    <mergeCell ref="A15:A16"/>
    <mergeCell ref="B15:B16"/>
    <mergeCell ref="C15:C16"/>
    <mergeCell ref="D15:D16"/>
    <mergeCell ref="E15:E16"/>
    <mergeCell ref="F15:F16"/>
    <mergeCell ref="G15:G16"/>
    <mergeCell ref="O15:Q16"/>
    <mergeCell ref="A17:S17"/>
    <mergeCell ref="O18:Q18"/>
    <mergeCell ref="O19:Q19"/>
    <mergeCell ref="H15:H16"/>
    <mergeCell ref="I15:I16"/>
    <mergeCell ref="J15:J16"/>
    <mergeCell ref="K15:L15"/>
    <mergeCell ref="M15:M16"/>
    <mergeCell ref="N15:N16"/>
    <mergeCell ref="R15:R16"/>
    <mergeCell ref="O26:Q26"/>
    <mergeCell ref="O27:Q27"/>
    <mergeCell ref="O28:Q28"/>
    <mergeCell ref="O29:Q29"/>
    <mergeCell ref="O30:Q30"/>
    <mergeCell ref="O31:Q31"/>
    <mergeCell ref="O20:Q20"/>
    <mergeCell ref="O21:Q21"/>
    <mergeCell ref="O22:Q22"/>
    <mergeCell ref="O23:Q23"/>
    <mergeCell ref="O24:Q24"/>
    <mergeCell ref="O25:Q25"/>
    <mergeCell ref="O38:Q38"/>
    <mergeCell ref="O39:Q39"/>
    <mergeCell ref="O40:Q40"/>
    <mergeCell ref="O41:Q41"/>
    <mergeCell ref="O42:Q42"/>
    <mergeCell ref="O43:Q43"/>
    <mergeCell ref="O32:Q32"/>
    <mergeCell ref="O33:Q33"/>
    <mergeCell ref="O34:Q34"/>
    <mergeCell ref="O35:Q35"/>
    <mergeCell ref="O36:Q36"/>
    <mergeCell ref="O37:Q37"/>
    <mergeCell ref="O44:Q44"/>
    <mergeCell ref="A45:B46"/>
    <mergeCell ref="C45:I46"/>
    <mergeCell ref="J45:R46"/>
    <mergeCell ref="A47:A48"/>
    <mergeCell ref="B47:B48"/>
    <mergeCell ref="C47:C48"/>
    <mergeCell ref="D47:D48"/>
    <mergeCell ref="E47:E48"/>
    <mergeCell ref="F47:F48"/>
    <mergeCell ref="N47:N48"/>
    <mergeCell ref="O47:O48"/>
    <mergeCell ref="P47:P48"/>
    <mergeCell ref="Q47:Q48"/>
    <mergeCell ref="R47:R48"/>
    <mergeCell ref="S47:S48"/>
    <mergeCell ref="G47:G48"/>
    <mergeCell ref="H47:H48"/>
    <mergeCell ref="I47:I48"/>
    <mergeCell ref="J47:J48"/>
    <mergeCell ref="K47:L47"/>
    <mergeCell ref="M47:M48"/>
    <mergeCell ref="A84:B85"/>
    <mergeCell ref="C84:I85"/>
    <mergeCell ref="J84:R85"/>
    <mergeCell ref="Q86:Q87"/>
    <mergeCell ref="R86:R87"/>
    <mergeCell ref="S86:S87"/>
    <mergeCell ref="A97:B98"/>
    <mergeCell ref="C97:F98"/>
    <mergeCell ref="G97:H98"/>
    <mergeCell ref="I97:J98"/>
    <mergeCell ref="K97:L98"/>
    <mergeCell ref="H86:H87"/>
    <mergeCell ref="I86:I87"/>
    <mergeCell ref="J86:J87"/>
    <mergeCell ref="K86:L86"/>
    <mergeCell ref="M86:M87"/>
    <mergeCell ref="N86:N87"/>
    <mergeCell ref="A86:A87"/>
    <mergeCell ref="B86:B87"/>
    <mergeCell ref="C86:C87"/>
    <mergeCell ref="D86:D87"/>
    <mergeCell ref="E86:E87"/>
    <mergeCell ref="F86:F87"/>
    <mergeCell ref="G86:G87"/>
    <mergeCell ref="O86:O87"/>
    <mergeCell ref="P86:P87"/>
    <mergeCell ref="A104:A106"/>
    <mergeCell ref="A107:A109"/>
    <mergeCell ref="A113:E113"/>
    <mergeCell ref="M97:N98"/>
    <mergeCell ref="O97:P98"/>
    <mergeCell ref="Q97:R98"/>
    <mergeCell ref="S97:S98"/>
    <mergeCell ref="A101:A102"/>
    <mergeCell ref="B101:D102"/>
  </mergeCells>
  <conditionalFormatting sqref="B1">
    <cfRule type="cellIs" dxfId="199" priority="1" operator="equal">
      <formula>"ERROR"</formula>
    </cfRule>
  </conditionalFormatting>
  <dataValidations count="1">
    <dataValidation type="list" allowBlank="1" showInputMessage="1" showErrorMessage="1" sqref="R97:R99">
      <formula1>#REF!</formula1>
    </dataValidation>
  </dataValidations>
  <pageMargins left="0.7" right="0.7" top="0.75" bottom="0.75" header="0.3" footer="0.3"/>
  <ignoredErrors>
    <ignoredError sqref="G10 G8 G9" unlockedFormula="1"/>
  </ignoredErrors>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[3]LISTAS!#REF!</xm:f>
          </x14:formula1>
          <xm:sqref>R44</xm:sqref>
        </x14:dataValidation>
        <x14:dataValidation type="list" allowBlank="1" showInputMessage="1" showErrorMessage="1">
          <x14:formula1>
            <xm:f>'LISTAS PPTO'!$AF$81:$AF$82</xm:f>
          </x14:formula1>
          <xm:sqref>R18:R43 R49:R83 R88:R96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I218"/>
  <sheetViews>
    <sheetView zoomScaleNormal="100" workbookViewId="0">
      <selection activeCell="D1" sqref="D1"/>
    </sheetView>
  </sheetViews>
  <sheetFormatPr baseColWidth="10" defaultColWidth="11.42578125" defaultRowHeight="15" x14ac:dyDescent="0.25"/>
  <cols>
    <col min="1" max="1" width="30.42578125" style="394" customWidth="1"/>
    <col min="2" max="2" width="17.7109375" style="394" customWidth="1"/>
    <col min="3" max="3" width="30.5703125" style="394" customWidth="1"/>
    <col min="4" max="4" width="29.42578125" style="394" customWidth="1"/>
    <col min="5" max="5" width="27.42578125" style="939" customWidth="1"/>
    <col min="6" max="6" width="23.28515625" style="939" customWidth="1"/>
    <col min="7" max="7" width="12" style="939" customWidth="1"/>
    <col min="8" max="8" width="16.140625" style="939" customWidth="1"/>
    <col min="9" max="9" width="3.7109375" style="939" customWidth="1"/>
    <col min="10" max="10" width="18.42578125" style="939" customWidth="1"/>
    <col min="11" max="11" width="24.140625" style="939" customWidth="1"/>
    <col min="12" max="12" width="15.140625" style="394" customWidth="1"/>
    <col min="13" max="13" width="12.42578125" style="394" customWidth="1"/>
    <col min="14" max="15" width="11.42578125" style="394"/>
    <col min="16" max="16" width="16.42578125" style="394" customWidth="1"/>
    <col min="17" max="16384" width="11.42578125" style="394"/>
  </cols>
  <sheetData>
    <row r="2" spans="1:61" ht="26.25" customHeight="1" x14ac:dyDescent="0.25">
      <c r="A2" s="2389"/>
      <c r="B2" s="2391" t="s">
        <v>1687</v>
      </c>
      <c r="C2" s="2392"/>
      <c r="D2" s="2392"/>
      <c r="E2" s="2392"/>
      <c r="F2" s="2392"/>
      <c r="G2" s="2393"/>
      <c r="H2" s="2388" t="s">
        <v>1937</v>
      </c>
    </row>
    <row r="3" spans="1:61" ht="51.75" customHeight="1" x14ac:dyDescent="0.25">
      <c r="A3" s="2390"/>
      <c r="B3" s="2394"/>
      <c r="C3" s="2395"/>
      <c r="D3" s="2395"/>
      <c r="E3" s="2395"/>
      <c r="F3" s="2395"/>
      <c r="G3" s="2396"/>
      <c r="H3" s="2388"/>
    </row>
    <row r="6" spans="1:61" s="372" customFormat="1" ht="31.5" customHeight="1" x14ac:dyDescent="0.25">
      <c r="A6" s="2290"/>
      <c r="B6" s="2293" t="s">
        <v>1515</v>
      </c>
      <c r="C6" s="2293"/>
      <c r="D6" s="2293"/>
      <c r="E6" s="2293"/>
      <c r="F6" s="2293"/>
      <c r="G6" s="925"/>
      <c r="H6" s="925" t="s">
        <v>144</v>
      </c>
      <c r="I6" s="925"/>
      <c r="J6" s="925"/>
      <c r="K6" s="925"/>
    </row>
    <row r="7" spans="1:61" s="372" customFormat="1" ht="31.5" customHeight="1" x14ac:dyDescent="0.25">
      <c r="A7" s="2290"/>
      <c r="B7" s="2294" t="s">
        <v>756</v>
      </c>
      <c r="C7" s="2294"/>
      <c r="D7" s="2294"/>
      <c r="E7" s="2294"/>
      <c r="F7" s="2294"/>
      <c r="G7" s="926"/>
      <c r="H7" s="926"/>
      <c r="I7" s="925"/>
      <c r="J7" s="925"/>
      <c r="K7" s="925"/>
    </row>
    <row r="8" spans="1:61" s="372" customFormat="1" ht="27" customHeight="1" x14ac:dyDescent="0.25">
      <c r="B8" s="2295" t="s">
        <v>1618</v>
      </c>
      <c r="C8" s="2295"/>
      <c r="D8" s="2295"/>
      <c r="E8" s="2295"/>
      <c r="F8" s="2295"/>
      <c r="G8" s="925"/>
      <c r="H8" s="925"/>
      <c r="I8" s="925"/>
      <c r="J8" s="925"/>
      <c r="K8" s="925"/>
    </row>
    <row r="9" spans="1:61" s="375" customFormat="1" ht="35.450000000000003" customHeight="1" x14ac:dyDescent="0.25">
      <c r="A9" s="1344" t="s">
        <v>757</v>
      </c>
      <c r="B9" s="2291" t="str">
        <f>+FENECIMIENTO!D5</f>
        <v xml:space="preserve">206 - Fondo de Prestaciones Económicas, Cesantías y Pensiones – FONCEP </v>
      </c>
      <c r="C9" s="2291"/>
      <c r="D9" s="925"/>
      <c r="E9" s="1345" t="s">
        <v>758</v>
      </c>
      <c r="F9" s="1346">
        <f>+FENECIMIENTO!K5</f>
        <v>2024</v>
      </c>
      <c r="G9" s="927"/>
      <c r="H9" s="928"/>
      <c r="I9" s="928"/>
      <c r="J9" s="928"/>
      <c r="K9" s="374"/>
      <c r="L9" s="374"/>
      <c r="M9" s="374"/>
      <c r="N9" s="374"/>
      <c r="Q9" s="376"/>
      <c r="R9" s="374"/>
      <c r="S9" s="377"/>
      <c r="T9" s="377"/>
      <c r="U9" s="377"/>
      <c r="V9" s="377"/>
      <c r="W9"/>
      <c r="X9"/>
      <c r="Y9"/>
      <c r="Z9"/>
      <c r="AA9"/>
      <c r="AB9"/>
      <c r="AC9"/>
      <c r="AD9"/>
      <c r="AE9"/>
      <c r="AF9"/>
      <c r="AG9"/>
      <c r="AH9"/>
      <c r="AI9"/>
      <c r="AJ9"/>
      <c r="AK9"/>
      <c r="AL9"/>
      <c r="AM9"/>
      <c r="AN9"/>
      <c r="AO9"/>
      <c r="AP9"/>
      <c r="AQ9"/>
      <c r="AR9"/>
      <c r="AS9"/>
      <c r="AT9"/>
      <c r="AU9"/>
      <c r="AV9"/>
      <c r="AW9"/>
      <c r="AX9"/>
      <c r="AY9"/>
      <c r="AZ9"/>
      <c r="BA9"/>
      <c r="BB9"/>
      <c r="BC9"/>
      <c r="BD9"/>
      <c r="BE9"/>
      <c r="BF9"/>
      <c r="BG9"/>
      <c r="BH9" s="378" t="s">
        <v>759</v>
      </c>
      <c r="BI9" s="378" t="s">
        <v>157</v>
      </c>
    </row>
    <row r="10" spans="1:61" s="375" customFormat="1" ht="14.25" customHeight="1" x14ac:dyDescent="0.25">
      <c r="A10" s="1347" t="s">
        <v>760</v>
      </c>
      <c r="B10" s="2292">
        <f>+FENECIMIENTO!D7</f>
        <v>45693</v>
      </c>
      <c r="C10" s="2292"/>
      <c r="D10" s="925"/>
      <c r="E10" s="1345" t="s">
        <v>1685</v>
      </c>
      <c r="F10" s="1346">
        <f>+FENECIMIENTO!D6</f>
        <v>2025</v>
      </c>
      <c r="G10" s="927"/>
      <c r="H10" s="928"/>
      <c r="I10" s="928"/>
      <c r="J10" s="928"/>
      <c r="K10" s="379"/>
      <c r="L10" s="379"/>
      <c r="M10" s="379"/>
      <c r="N10" s="379"/>
      <c r="O10" s="374"/>
      <c r="P10" s="374"/>
      <c r="Q10" s="380"/>
      <c r="R10" s="374"/>
      <c r="S10" s="381"/>
      <c r="T10" s="381"/>
      <c r="U10" s="381"/>
      <c r="V10" s="381"/>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s="382" t="s">
        <v>761</v>
      </c>
      <c r="BI10" s="382" t="s">
        <v>762</v>
      </c>
    </row>
    <row r="11" spans="1:61" s="375" customFormat="1" ht="15" customHeight="1" x14ac:dyDescent="0.25">
      <c r="A11" s="1347" t="s">
        <v>5</v>
      </c>
      <c r="B11" s="2292">
        <f>+FENECIMIENTO!K7</f>
        <v>45693</v>
      </c>
      <c r="C11" s="2292"/>
      <c r="D11" s="925"/>
      <c r="E11" s="1348" t="s">
        <v>763</v>
      </c>
      <c r="F11" s="1553"/>
      <c r="G11" s="929"/>
      <c r="H11" s="929"/>
      <c r="I11" s="929"/>
      <c r="J11" s="929"/>
      <c r="K11" s="379"/>
      <c r="L11" s="379"/>
      <c r="M11" s="379"/>
      <c r="N11" s="379"/>
      <c r="O11" s="374"/>
      <c r="P11" s="374"/>
      <c r="Q11" s="380"/>
      <c r="R11" s="374"/>
      <c r="S11" s="381"/>
      <c r="T11" s="381"/>
      <c r="U11" s="381"/>
      <c r="V11" s="381"/>
      <c r="W11" s="381"/>
      <c r="X11" s="381"/>
      <c r="Y11" s="381"/>
      <c r="Z11" s="383"/>
      <c r="AA11" s="383"/>
      <c r="AB11" s="381"/>
      <c r="AC11" s="381"/>
      <c r="AD11" s="381"/>
      <c r="AE11" s="381"/>
      <c r="AF11" s="381"/>
      <c r="AG11" s="381"/>
      <c r="AH11" s="381"/>
      <c r="AI11" s="384"/>
      <c r="AJ11" s="385"/>
      <c r="AK11" s="373"/>
      <c r="AL11" s="373"/>
      <c r="AM11" s="373"/>
      <c r="AN11" s="373"/>
      <c r="AO11" s="373"/>
      <c r="AP11" s="373"/>
      <c r="AQ11" s="373"/>
      <c r="AR11" s="386"/>
      <c r="AT11" s="387"/>
      <c r="AU11" s="388"/>
      <c r="AV11" s="389"/>
      <c r="AW11" s="373"/>
      <c r="AX11" s="390"/>
      <c r="AY11" s="373"/>
      <c r="AZ11" s="373"/>
      <c r="BA11" s="373"/>
      <c r="BB11" s="373"/>
      <c r="BC11" s="373"/>
      <c r="BG11" s="391"/>
      <c r="BH11" s="392" t="s">
        <v>764</v>
      </c>
      <c r="BI11" s="392" t="s">
        <v>155</v>
      </c>
    </row>
    <row r="12" spans="1:61" x14ac:dyDescent="0.25">
      <c r="A12" s="393"/>
      <c r="B12" s="393"/>
      <c r="C12" s="372"/>
      <c r="D12" s="372"/>
      <c r="E12" s="930"/>
      <c r="F12" s="925"/>
      <c r="G12" s="925"/>
      <c r="H12" s="925"/>
      <c r="I12" s="925"/>
      <c r="J12" s="925"/>
      <c r="K12" s="925"/>
      <c r="L12" s="372"/>
      <c r="M12" s="372"/>
    </row>
    <row r="13" spans="1:61" x14ac:dyDescent="0.25">
      <c r="A13" s="1349"/>
      <c r="B13" s="1349"/>
      <c r="C13" s="1349"/>
      <c r="D13" s="1349"/>
      <c r="E13" s="1350"/>
      <c r="F13" s="1350"/>
      <c r="G13" s="931"/>
      <c r="H13" s="932"/>
      <c r="I13" s="932"/>
      <c r="J13" s="931"/>
      <c r="K13" s="931"/>
      <c r="L13" s="395"/>
      <c r="M13" s="395"/>
    </row>
    <row r="14" spans="1:61" ht="15.75" x14ac:dyDescent="0.25">
      <c r="A14" s="2284" t="s">
        <v>765</v>
      </c>
      <c r="B14" s="2285"/>
      <c r="C14" s="2285"/>
      <c r="D14" s="2285"/>
      <c r="E14" s="2285"/>
      <c r="F14" s="2286"/>
      <c r="G14" s="933"/>
      <c r="H14" s="934"/>
      <c r="I14" s="934"/>
      <c r="J14" s="934"/>
      <c r="K14" s="934"/>
      <c r="L14" s="396"/>
      <c r="M14" s="396"/>
    </row>
    <row r="15" spans="1:61" ht="51.75" customHeight="1" x14ac:dyDescent="0.25">
      <c r="A15" s="2287" t="s">
        <v>766</v>
      </c>
      <c r="B15" s="2288"/>
      <c r="C15" s="2288"/>
      <c r="D15" s="2288"/>
      <c r="E15" s="2288"/>
      <c r="F15" s="2289"/>
      <c r="G15" s="935"/>
      <c r="H15" s="936"/>
      <c r="I15" s="937"/>
      <c r="J15" s="937"/>
      <c r="K15" s="937"/>
      <c r="L15" s="398"/>
      <c r="M15" s="398"/>
    </row>
    <row r="16" spans="1:61" ht="12.75" customHeight="1" x14ac:dyDescent="0.25">
      <c r="A16" s="399"/>
      <c r="B16" s="399"/>
      <c r="C16" s="399"/>
      <c r="D16" s="399"/>
      <c r="E16" s="938"/>
      <c r="F16" s="938"/>
      <c r="G16" s="937"/>
      <c r="H16" s="937"/>
      <c r="I16" s="937"/>
    </row>
    <row r="17" spans="1:20" ht="15.75" x14ac:dyDescent="0.25">
      <c r="A17" s="399"/>
      <c r="B17" s="399"/>
      <c r="C17" s="399"/>
      <c r="D17" s="399"/>
      <c r="E17" s="938"/>
      <c r="F17" s="938"/>
      <c r="G17" s="937"/>
      <c r="H17" s="940"/>
      <c r="I17" s="937"/>
      <c r="J17" s="941"/>
      <c r="K17" s="942"/>
      <c r="L17" s="400"/>
      <c r="M17" s="401"/>
      <c r="N17" s="402"/>
      <c r="O17" s="403"/>
      <c r="P17" s="404"/>
      <c r="Q17" s="405"/>
      <c r="R17" s="404"/>
      <c r="S17" s="406"/>
      <c r="T17" s="402"/>
    </row>
    <row r="18" spans="1:20" ht="15" customHeight="1" x14ac:dyDescent="0.25">
      <c r="A18" s="2284" t="s">
        <v>1707</v>
      </c>
      <c r="B18" s="2285"/>
      <c r="C18" s="2285"/>
      <c r="D18" s="2285"/>
      <c r="E18" s="2285"/>
      <c r="F18" s="2286"/>
      <c r="G18" s="925"/>
      <c r="H18" s="943"/>
      <c r="I18" s="925"/>
    </row>
    <row r="19" spans="1:20" ht="96.6" customHeight="1" x14ac:dyDescent="0.25">
      <c r="A19" s="2313" t="s">
        <v>1699</v>
      </c>
      <c r="B19" s="2314"/>
      <c r="C19" s="2314"/>
      <c r="D19" s="2314"/>
      <c r="E19" s="2314"/>
      <c r="F19" s="2315"/>
      <c r="G19" s="925"/>
      <c r="H19" s="943"/>
      <c r="I19" s="925"/>
    </row>
    <row r="20" spans="1:20" s="372" customFormat="1" ht="32.25" customHeight="1" x14ac:dyDescent="0.25">
      <c r="A20" s="2305" t="s">
        <v>767</v>
      </c>
      <c r="B20" s="2306"/>
      <c r="C20" s="1351" t="s">
        <v>768</v>
      </c>
      <c r="D20" s="1351" t="s">
        <v>697</v>
      </c>
      <c r="E20" s="1352" t="s">
        <v>769</v>
      </c>
      <c r="F20" s="1352" t="s">
        <v>770</v>
      </c>
      <c r="G20" s="925"/>
      <c r="H20" s="925"/>
      <c r="I20" s="925"/>
      <c r="K20" s="944"/>
    </row>
    <row r="21" spans="1:20" s="372" customFormat="1" ht="19.5" customHeight="1" x14ac:dyDescent="0.25">
      <c r="A21" s="2307" t="s">
        <v>689</v>
      </c>
      <c r="B21" s="2308"/>
      <c r="C21" s="1379" t="s">
        <v>132</v>
      </c>
      <c r="D21" s="1380" t="s">
        <v>690</v>
      </c>
      <c r="E21" s="1381" t="s">
        <v>1906</v>
      </c>
      <c r="F21" s="1382" t="s">
        <v>156</v>
      </c>
      <c r="G21" s="945"/>
      <c r="H21" s="925"/>
      <c r="I21" s="925"/>
      <c r="K21" s="925"/>
    </row>
    <row r="22" spans="1:20" x14ac:dyDescent="0.25">
      <c r="A22" s="2309">
        <f>IF(A21="Negativa o abstención",3,IF(A21="Con salvedades",2,IF(A21="Sin salvedades",1,0)))</f>
        <v>1</v>
      </c>
      <c r="B22" s="2310"/>
      <c r="C22" s="1353">
        <f>IF(C21="Ineficiente",3,IF(C21="Con deficiencias",2,IF(C21="Eficiente",1,0)))</f>
        <v>2</v>
      </c>
      <c r="D22" s="1353">
        <f>IF(D21="No fenecida",3,IF(D21="Fenecida",1,0))</f>
        <v>1</v>
      </c>
      <c r="E22" s="1354">
        <f>IF(E21="Ineficiente",3,IF(E21="Parcialmente Adecuado",2,IF(E21="Eficiente /Adecuado",1,0)))</f>
        <v>1</v>
      </c>
      <c r="F22" s="1354">
        <f>IF(F21="Alto-Crítico",3,IF(F21="Medio",2,IF(F21="Bajo",1,0)))</f>
        <v>1</v>
      </c>
      <c r="G22" s="925"/>
      <c r="H22" s="925"/>
      <c r="I22" s="925"/>
      <c r="K22" s="925"/>
      <c r="L22" s="372"/>
      <c r="M22" s="372"/>
    </row>
    <row r="23" spans="1:20" x14ac:dyDescent="0.25">
      <c r="E23" s="946"/>
      <c r="F23" s="946"/>
      <c r="G23" s="925"/>
      <c r="H23" s="925"/>
      <c r="I23" s="925"/>
      <c r="K23" s="925"/>
      <c r="L23" s="372"/>
      <c r="M23" s="372"/>
    </row>
    <row r="24" spans="1:20" ht="62.25" customHeight="1" x14ac:dyDescent="0.25">
      <c r="A24" s="2311" t="s">
        <v>771</v>
      </c>
      <c r="B24" s="2312"/>
      <c r="C24" s="1355" t="s">
        <v>772</v>
      </c>
      <c r="D24" s="1355" t="s">
        <v>773</v>
      </c>
      <c r="G24" s="925"/>
      <c r="H24" s="925"/>
      <c r="I24" s="925"/>
      <c r="K24" s="925"/>
      <c r="L24" s="372"/>
      <c r="M24" s="372"/>
    </row>
    <row r="25" spans="1:20" ht="19.5" customHeight="1" x14ac:dyDescent="0.25">
      <c r="A25" s="2296">
        <f>SUM(A22:F22)</f>
        <v>6</v>
      </c>
      <c r="B25" s="2297"/>
      <c r="C25" s="1356" t="str">
        <f>IF(ISERROR(A25),"SIN VALOR",IF(AND(A25&lt;6),D27,IF(AND(A25&gt;=6,A25&lt;11),D28,IF(AND(A25&gt;=11),D29))))</f>
        <v>Entre &gt;1,17% y &lt;=2,08%</v>
      </c>
      <c r="D25" s="407">
        <v>0.02</v>
      </c>
      <c r="G25" s="925"/>
      <c r="H25" s="925"/>
      <c r="I25" s="925"/>
      <c r="J25" s="925"/>
      <c r="K25" s="925"/>
      <c r="L25" s="372"/>
      <c r="M25" s="372"/>
    </row>
    <row r="26" spans="1:20" s="408" customFormat="1" x14ac:dyDescent="0.25">
      <c r="E26" s="947"/>
      <c r="F26" s="948"/>
      <c r="G26" s="949"/>
      <c r="H26" s="949"/>
      <c r="I26" s="949"/>
      <c r="J26" s="949"/>
      <c r="K26" s="949"/>
      <c r="L26" s="409"/>
      <c r="M26" s="409"/>
    </row>
    <row r="27" spans="1:20" s="409" customFormat="1" x14ac:dyDescent="0.25">
      <c r="A27" s="2296" t="s">
        <v>774</v>
      </c>
      <c r="B27" s="2297"/>
      <c r="C27" s="1357" t="s">
        <v>775</v>
      </c>
      <c r="D27" s="1358" t="s">
        <v>776</v>
      </c>
      <c r="E27" s="949"/>
      <c r="F27" s="949"/>
      <c r="G27" s="949"/>
      <c r="H27" s="949"/>
      <c r="I27" s="949"/>
      <c r="J27" s="949"/>
      <c r="K27" s="949"/>
    </row>
    <row r="28" spans="1:20" s="408" customFormat="1" ht="17.25" customHeight="1" x14ac:dyDescent="0.25">
      <c r="A28" s="2296" t="s">
        <v>777</v>
      </c>
      <c r="B28" s="2297"/>
      <c r="C28" s="1357" t="s">
        <v>778</v>
      </c>
      <c r="D28" s="1358" t="s">
        <v>779</v>
      </c>
      <c r="E28" s="947"/>
      <c r="F28" s="948"/>
      <c r="G28" s="949"/>
      <c r="H28" s="949"/>
      <c r="I28" s="949"/>
      <c r="J28" s="949"/>
      <c r="K28" s="949"/>
      <c r="L28" s="409"/>
      <c r="M28" s="409"/>
    </row>
    <row r="29" spans="1:20" ht="17.25" customHeight="1" x14ac:dyDescent="0.25">
      <c r="A29" s="2296" t="s">
        <v>780</v>
      </c>
      <c r="B29" s="2297"/>
      <c r="C29" s="1357" t="s">
        <v>781</v>
      </c>
      <c r="D29" s="1358" t="s">
        <v>782</v>
      </c>
      <c r="F29" s="925"/>
      <c r="G29" s="925"/>
      <c r="H29" s="925"/>
      <c r="I29" s="925"/>
      <c r="J29" s="925"/>
      <c r="K29" s="925"/>
      <c r="L29" s="372"/>
      <c r="M29" s="372"/>
    </row>
    <row r="30" spans="1:20" ht="17.25" customHeight="1" x14ac:dyDescent="0.25">
      <c r="A30" s="1359"/>
      <c r="B30" s="1359"/>
      <c r="C30" s="1359"/>
      <c r="D30" s="1359"/>
      <c r="E30" s="950"/>
      <c r="F30" s="925"/>
      <c r="G30" s="925"/>
      <c r="H30" s="925"/>
      <c r="I30" s="925"/>
      <c r="J30" s="925"/>
      <c r="K30" s="925"/>
      <c r="L30" s="372"/>
      <c r="M30" s="372"/>
    </row>
    <row r="31" spans="1:20" ht="21" customHeight="1" x14ac:dyDescent="0.25">
      <c r="A31" s="2298" t="s">
        <v>783</v>
      </c>
      <c r="B31" s="2299"/>
      <c r="C31" s="2299"/>
      <c r="D31" s="2300"/>
      <c r="E31" s="947"/>
      <c r="F31" s="947"/>
      <c r="G31" s="936"/>
      <c r="H31" s="936"/>
      <c r="I31" s="936"/>
      <c r="J31" s="936"/>
      <c r="K31" s="936"/>
      <c r="L31" s="397"/>
    </row>
    <row r="32" spans="1:20" ht="27.75" customHeight="1" x14ac:dyDescent="0.25">
      <c r="A32" s="2301" t="s">
        <v>1630</v>
      </c>
      <c r="B32" s="2302"/>
      <c r="C32" s="2302"/>
      <c r="D32" s="2302"/>
      <c r="E32" s="2303"/>
      <c r="F32" s="2304"/>
      <c r="G32" s="2329"/>
      <c r="H32" s="2329"/>
      <c r="I32" s="2329"/>
      <c r="J32" s="2329"/>
      <c r="K32" s="2330"/>
      <c r="L32" s="2330"/>
    </row>
    <row r="33" spans="1:20" ht="30" x14ac:dyDescent="0.25">
      <c r="A33" s="2331" t="s">
        <v>739</v>
      </c>
      <c r="B33" s="2332"/>
      <c r="C33" s="1360" t="s">
        <v>785</v>
      </c>
      <c r="D33" s="1361" t="s">
        <v>786</v>
      </c>
      <c r="E33" s="2303"/>
      <c r="F33" s="2304"/>
      <c r="G33" s="2333"/>
      <c r="H33" s="2333"/>
      <c r="I33" s="2333"/>
      <c r="J33" s="2333"/>
      <c r="K33" s="2330"/>
      <c r="L33" s="2330"/>
    </row>
    <row r="34" spans="1:20" x14ac:dyDescent="0.25">
      <c r="A34" s="2316">
        <v>15000000000</v>
      </c>
      <c r="B34" s="2317"/>
      <c r="C34" s="2320">
        <f>IF(A34="","",D25)</f>
        <v>0.02</v>
      </c>
      <c r="D34" s="2322">
        <f>IF(A34="","",A34*C34)</f>
        <v>300000000</v>
      </c>
      <c r="E34" s="951"/>
      <c r="F34" s="952"/>
      <c r="G34" s="953"/>
      <c r="H34" s="954"/>
      <c r="I34" s="954"/>
      <c r="J34" s="954"/>
      <c r="K34" s="955"/>
      <c r="L34" s="411"/>
      <c r="P34" s="412"/>
    </row>
    <row r="35" spans="1:20" x14ac:dyDescent="0.25">
      <c r="A35" s="2318"/>
      <c r="B35" s="2319"/>
      <c r="C35" s="2321"/>
      <c r="D35" s="2323"/>
      <c r="E35" s="956"/>
      <c r="F35" s="957"/>
      <c r="G35" s="958"/>
      <c r="H35" s="959"/>
      <c r="I35" s="960"/>
      <c r="J35" s="959"/>
      <c r="K35" s="961"/>
      <c r="L35" s="413"/>
      <c r="P35" s="412"/>
    </row>
    <row r="36" spans="1:20" ht="15.75" customHeight="1" x14ac:dyDescent="0.25">
      <c r="A36" s="414"/>
      <c r="E36" s="925"/>
      <c r="F36" s="925"/>
      <c r="G36" s="925"/>
      <c r="H36" s="925"/>
      <c r="I36" s="925"/>
      <c r="J36" s="925"/>
      <c r="K36" s="925"/>
      <c r="L36" s="372"/>
      <c r="P36" s="415"/>
    </row>
    <row r="37" spans="1:20" ht="29.25" customHeight="1" x14ac:dyDescent="0.25">
      <c r="A37" s="2324" t="s">
        <v>1631</v>
      </c>
      <c r="B37" s="2325"/>
      <c r="C37" s="2325"/>
      <c r="D37" s="2325"/>
      <c r="E37" s="2326"/>
      <c r="F37" s="2327"/>
      <c r="G37" s="2328"/>
      <c r="H37" s="2328"/>
      <c r="I37" s="2328"/>
      <c r="J37" s="2328"/>
      <c r="K37" s="2335"/>
      <c r="L37" s="2335"/>
    </row>
    <row r="38" spans="1:20" ht="31.5" customHeight="1" x14ac:dyDescent="0.25">
      <c r="A38" s="2336" t="s">
        <v>739</v>
      </c>
      <c r="B38" s="2337"/>
      <c r="C38" s="1362" t="s">
        <v>788</v>
      </c>
      <c r="D38" s="1363" t="s">
        <v>786</v>
      </c>
      <c r="E38" s="2326"/>
      <c r="F38" s="2327"/>
      <c r="G38" s="2338"/>
      <c r="H38" s="2338"/>
      <c r="I38" s="2338"/>
      <c r="J38" s="2338"/>
      <c r="K38" s="2335"/>
      <c r="L38" s="2335"/>
    </row>
    <row r="39" spans="1:20" ht="16.5" customHeight="1" x14ac:dyDescent="0.25">
      <c r="A39" s="2339">
        <v>1520000000</v>
      </c>
      <c r="B39" s="2340"/>
      <c r="C39" s="2341">
        <f>+D25</f>
        <v>0.02</v>
      </c>
      <c r="D39" s="2343">
        <f>A39*C39</f>
        <v>30400000</v>
      </c>
      <c r="E39" s="962"/>
      <c r="F39" s="963"/>
      <c r="G39" s="964"/>
      <c r="H39" s="965"/>
      <c r="I39" s="966"/>
      <c r="J39" s="965"/>
      <c r="K39" s="967"/>
      <c r="L39" s="416"/>
    </row>
    <row r="40" spans="1:20" ht="16.5" customHeight="1" x14ac:dyDescent="0.25">
      <c r="A40" s="2318"/>
      <c r="B40" s="2319"/>
      <c r="C40" s="2342"/>
      <c r="D40" s="2344"/>
      <c r="E40" s="968"/>
      <c r="F40" s="969"/>
      <c r="G40" s="970"/>
      <c r="H40" s="971"/>
      <c r="I40" s="972"/>
      <c r="J40" s="971"/>
      <c r="K40" s="973"/>
      <c r="L40" s="417"/>
      <c r="M40" s="418"/>
      <c r="N40" s="419"/>
      <c r="O40" s="420"/>
      <c r="P40" s="421"/>
      <c r="Q40" s="422"/>
      <c r="R40" s="421"/>
      <c r="S40" s="423"/>
      <c r="T40" s="419"/>
    </row>
    <row r="41" spans="1:20" customFormat="1" ht="16.5" customHeight="1" x14ac:dyDescent="0.25">
      <c r="E41" s="974"/>
      <c r="F41" s="974"/>
      <c r="G41" s="974"/>
      <c r="H41" s="974"/>
      <c r="I41" s="974"/>
      <c r="J41" s="974"/>
      <c r="K41" s="974"/>
    </row>
    <row r="42" spans="1:20" customFormat="1" ht="16.5" customHeight="1" x14ac:dyDescent="0.25">
      <c r="A42" s="2346" t="s">
        <v>789</v>
      </c>
      <c r="B42" s="2346"/>
      <c r="C42" s="2346"/>
      <c r="D42" s="2346"/>
      <c r="E42" s="974"/>
      <c r="F42" s="974"/>
      <c r="G42" s="974"/>
      <c r="H42" s="974"/>
      <c r="I42" s="974"/>
      <c r="J42" s="974"/>
      <c r="K42" s="974"/>
    </row>
    <row r="43" spans="1:20" customFormat="1" ht="16.5" customHeight="1" x14ac:dyDescent="0.25">
      <c r="A43" s="2345" t="s">
        <v>790</v>
      </c>
      <c r="B43" s="2345"/>
      <c r="C43" s="1364" t="s">
        <v>792</v>
      </c>
      <c r="D43" s="1364" t="s">
        <v>793</v>
      </c>
      <c r="E43" s="974"/>
      <c r="F43" s="974"/>
      <c r="G43" s="974"/>
      <c r="H43" s="974"/>
      <c r="I43" s="974"/>
      <c r="J43" s="974"/>
      <c r="K43" s="974"/>
    </row>
    <row r="44" spans="1:20" customFormat="1" ht="13.5" customHeight="1" x14ac:dyDescent="0.25">
      <c r="A44" s="2334" t="s">
        <v>794</v>
      </c>
      <c r="B44" s="2334"/>
      <c r="C44" s="1632"/>
      <c r="D44" s="1626" t="str">
        <f>IF(C44="","",C44*$C$39)</f>
        <v/>
      </c>
      <c r="E44" s="974"/>
      <c r="F44" s="974"/>
      <c r="G44" s="974"/>
      <c r="H44" s="974"/>
      <c r="I44" s="974"/>
      <c r="J44" s="974"/>
      <c r="K44" s="974"/>
    </row>
    <row r="45" spans="1:20" customFormat="1" ht="13.5" customHeight="1" x14ac:dyDescent="0.25">
      <c r="A45" s="2334" t="s">
        <v>797</v>
      </c>
      <c r="B45" s="2334"/>
      <c r="C45" s="1632"/>
      <c r="D45" s="1626" t="str">
        <f t="shared" ref="D45:D49" si="0">IF(C45="","",C45*$C$39)</f>
        <v/>
      </c>
      <c r="E45" s="974"/>
      <c r="F45" s="974"/>
      <c r="G45" s="974"/>
      <c r="H45" s="974"/>
      <c r="I45" s="974"/>
      <c r="J45" s="974"/>
      <c r="K45" s="974"/>
    </row>
    <row r="46" spans="1:20" customFormat="1" ht="13.5" customHeight="1" x14ac:dyDescent="0.25">
      <c r="A46" s="2334" t="s">
        <v>799</v>
      </c>
      <c r="B46" s="2334"/>
      <c r="C46" s="1632"/>
      <c r="D46" s="1626" t="str">
        <f t="shared" si="0"/>
        <v/>
      </c>
      <c r="E46" s="974"/>
      <c r="F46" s="974"/>
      <c r="G46" s="974"/>
      <c r="H46" s="974"/>
      <c r="I46" s="974"/>
      <c r="J46" s="974"/>
      <c r="K46" s="974"/>
    </row>
    <row r="47" spans="1:20" customFormat="1" ht="13.5" customHeight="1" x14ac:dyDescent="0.25">
      <c r="A47" s="2334" t="s">
        <v>798</v>
      </c>
      <c r="B47" s="2334"/>
      <c r="C47" s="1632"/>
      <c r="D47" s="1626" t="str">
        <f t="shared" si="0"/>
        <v/>
      </c>
      <c r="E47" s="974"/>
      <c r="F47" s="974"/>
      <c r="G47" s="974"/>
      <c r="H47" s="974"/>
      <c r="I47" s="974"/>
      <c r="J47" s="974"/>
      <c r="K47" s="974"/>
    </row>
    <row r="48" spans="1:20" customFormat="1" ht="13.5" customHeight="1" x14ac:dyDescent="0.25">
      <c r="A48" s="2334" t="s">
        <v>520</v>
      </c>
      <c r="B48" s="2334"/>
      <c r="C48" s="1632"/>
      <c r="D48" s="1626" t="str">
        <f t="shared" si="0"/>
        <v/>
      </c>
      <c r="E48" s="974"/>
      <c r="F48" s="974"/>
      <c r="G48" s="974"/>
      <c r="H48" s="974"/>
      <c r="I48" s="974"/>
      <c r="J48" s="974"/>
      <c r="K48" s="974"/>
    </row>
    <row r="49" spans="1:13" customFormat="1" ht="13.5" customHeight="1" x14ac:dyDescent="0.25">
      <c r="A49" s="2334" t="s">
        <v>527</v>
      </c>
      <c r="B49" s="2334"/>
      <c r="C49" s="1632"/>
      <c r="D49" s="1626" t="str">
        <f t="shared" si="0"/>
        <v/>
      </c>
      <c r="E49" s="974"/>
      <c r="F49" s="974"/>
      <c r="G49" s="974"/>
      <c r="H49" s="974"/>
      <c r="I49" s="974"/>
      <c r="J49" s="974"/>
      <c r="K49" s="974"/>
    </row>
    <row r="50" spans="1:13" customFormat="1" ht="16.5" customHeight="1" x14ac:dyDescent="0.25">
      <c r="E50" s="974"/>
      <c r="F50" s="974"/>
      <c r="G50" s="974"/>
      <c r="H50" s="974"/>
      <c r="I50" s="974"/>
      <c r="J50" s="974"/>
      <c r="K50" s="974"/>
    </row>
    <row r="51" spans="1:13" customFormat="1" ht="16.5" customHeight="1" x14ac:dyDescent="0.25">
      <c r="E51" s="974"/>
      <c r="F51" s="974"/>
      <c r="G51" s="974"/>
      <c r="H51" s="974"/>
      <c r="I51" s="974"/>
      <c r="J51" s="974"/>
      <c r="K51" s="974"/>
    </row>
    <row r="52" spans="1:13" s="408" customFormat="1" ht="17.25" customHeight="1" x14ac:dyDescent="0.25">
      <c r="A52" s="2352" t="s">
        <v>1682</v>
      </c>
      <c r="B52" s="2352"/>
      <c r="C52" s="2352"/>
      <c r="D52" s="2352"/>
      <c r="E52" s="2352"/>
      <c r="F52" s="2352"/>
      <c r="G52" s="975"/>
      <c r="H52" s="949"/>
      <c r="I52" s="949"/>
      <c r="J52" s="949"/>
      <c r="K52" s="949"/>
      <c r="L52" s="409"/>
      <c r="M52" s="409"/>
    </row>
    <row r="53" spans="1:13" s="408" customFormat="1" x14ac:dyDescent="0.25">
      <c r="A53" s="2353" t="s">
        <v>800</v>
      </c>
      <c r="B53" s="2354"/>
      <c r="C53" s="2354"/>
      <c r="D53" s="2354"/>
      <c r="E53" s="2354"/>
      <c r="F53" s="2355"/>
      <c r="G53" s="975"/>
      <c r="H53" s="949"/>
      <c r="I53" s="949"/>
      <c r="J53" s="949"/>
      <c r="K53" s="949"/>
      <c r="L53" s="409"/>
      <c r="M53" s="409"/>
    </row>
    <row r="54" spans="1:13" s="408" customFormat="1" ht="15.75" customHeight="1" x14ac:dyDescent="0.25">
      <c r="A54" s="2356"/>
      <c r="B54" s="2357"/>
      <c r="C54" s="2357"/>
      <c r="D54" s="2357"/>
      <c r="E54" s="2357"/>
      <c r="F54" s="2358"/>
      <c r="G54" s="975"/>
      <c r="H54" s="949"/>
      <c r="I54" s="949"/>
      <c r="J54" s="949"/>
      <c r="K54" s="949"/>
      <c r="L54" s="409"/>
      <c r="M54" s="409"/>
    </row>
    <row r="55" spans="1:13" s="408" customFormat="1" ht="15.75" customHeight="1" x14ac:dyDescent="0.25">
      <c r="A55" s="2356"/>
      <c r="B55" s="2357"/>
      <c r="C55" s="2357"/>
      <c r="D55" s="2357"/>
      <c r="E55" s="2357"/>
      <c r="F55" s="2358"/>
      <c r="G55" s="975"/>
      <c r="H55" s="949"/>
      <c r="I55" s="949"/>
      <c r="J55" s="949"/>
      <c r="K55" s="949"/>
      <c r="L55" s="409"/>
      <c r="M55" s="409"/>
    </row>
    <row r="56" spans="1:13" ht="15.75" customHeight="1" x14ac:dyDescent="0.25">
      <c r="A56" s="2359"/>
      <c r="B56" s="2360"/>
      <c r="C56" s="2360"/>
      <c r="D56" s="2360"/>
      <c r="E56" s="2360"/>
      <c r="F56" s="2361"/>
      <c r="G56" s="925"/>
      <c r="H56" s="925"/>
      <c r="I56" s="925"/>
      <c r="J56" s="925"/>
      <c r="K56" s="925"/>
      <c r="L56" s="372"/>
      <c r="M56" s="372"/>
    </row>
    <row r="57" spans="1:13" ht="15.75" customHeight="1" x14ac:dyDescent="0.25">
      <c r="A57" s="1365"/>
      <c r="B57" s="1365"/>
      <c r="C57" s="1365"/>
      <c r="D57" s="1365"/>
      <c r="E57" s="1366"/>
      <c r="F57" s="1366"/>
      <c r="G57" s="925"/>
      <c r="H57" s="925"/>
      <c r="I57" s="925"/>
      <c r="J57" s="925"/>
      <c r="K57" s="925"/>
      <c r="L57" s="372"/>
      <c r="M57" s="372"/>
    </row>
    <row r="58" spans="1:13" s="408" customFormat="1" hidden="1" x14ac:dyDescent="0.25">
      <c r="A58" s="2362" t="s">
        <v>801</v>
      </c>
      <c r="B58" s="2363"/>
      <c r="C58" s="2363"/>
      <c r="D58" s="2363"/>
      <c r="E58" s="2363"/>
      <c r="F58" s="2364"/>
      <c r="G58" s="947"/>
      <c r="H58" s="947"/>
      <c r="I58" s="947"/>
      <c r="J58" s="947"/>
      <c r="K58" s="947"/>
    </row>
    <row r="59" spans="1:13" s="408" customFormat="1" ht="60.75" hidden="1" customHeight="1" x14ac:dyDescent="0.25">
      <c r="A59" s="2347" t="s">
        <v>802</v>
      </c>
      <c r="B59" s="2347"/>
      <c r="C59" s="2347"/>
      <c r="D59" s="2347"/>
      <c r="E59" s="2347"/>
      <c r="F59" s="2347"/>
      <c r="G59" s="947"/>
      <c r="H59" s="947"/>
      <c r="I59" s="947"/>
      <c r="J59" s="947"/>
      <c r="K59" s="947"/>
    </row>
    <row r="60" spans="1:13" s="408" customFormat="1" ht="48" hidden="1" customHeight="1" x14ac:dyDescent="0.25">
      <c r="A60" s="1367" t="s">
        <v>803</v>
      </c>
      <c r="B60" s="1368" t="s">
        <v>804</v>
      </c>
      <c r="C60" s="1369" t="s">
        <v>805</v>
      </c>
      <c r="D60" s="1370" t="s">
        <v>806</v>
      </c>
      <c r="E60" s="1371" t="s">
        <v>807</v>
      </c>
      <c r="F60" s="1371" t="s">
        <v>808</v>
      </c>
      <c r="G60" s="976"/>
      <c r="H60" s="976"/>
      <c r="I60" s="947"/>
      <c r="J60" s="947"/>
      <c r="K60" s="947"/>
    </row>
    <row r="61" spans="1:13" s="408" customFormat="1" ht="22.5" hidden="1" customHeight="1" x14ac:dyDescent="0.25">
      <c r="A61" s="1372" t="s">
        <v>679</v>
      </c>
      <c r="B61" s="1373">
        <v>0.04</v>
      </c>
      <c r="C61" s="1374" t="s">
        <v>809</v>
      </c>
      <c r="D61" s="1375" t="s">
        <v>810</v>
      </c>
      <c r="E61" s="1376">
        <f>+D34</f>
        <v>300000000</v>
      </c>
      <c r="F61" s="1377">
        <f>+E61*B61</f>
        <v>12000000</v>
      </c>
      <c r="G61" s="947"/>
      <c r="H61" s="947"/>
      <c r="I61" s="947"/>
      <c r="J61" s="947"/>
      <c r="K61" s="947"/>
    </row>
    <row r="62" spans="1:13" s="408" customFormat="1" ht="29.25" hidden="1" customHeight="1" x14ac:dyDescent="0.25">
      <c r="A62" s="1372"/>
      <c r="B62" s="1373"/>
      <c r="C62" s="1375"/>
      <c r="D62" s="1375"/>
      <c r="E62" s="1378"/>
      <c r="F62" s="1377">
        <f>+E62*B62</f>
        <v>0</v>
      </c>
      <c r="G62" s="947"/>
      <c r="H62" s="947"/>
      <c r="I62" s="947"/>
      <c r="J62" s="947"/>
      <c r="K62" s="947"/>
    </row>
    <row r="63" spans="1:13" s="408" customFormat="1" hidden="1" x14ac:dyDescent="0.25">
      <c r="A63" s="1372"/>
      <c r="B63" s="1373"/>
      <c r="C63" s="1375"/>
      <c r="D63" s="1375"/>
      <c r="E63" s="1378"/>
      <c r="F63" s="1377">
        <f>+E63*B63</f>
        <v>0</v>
      </c>
      <c r="G63" s="947"/>
      <c r="H63" s="947"/>
      <c r="I63" s="947"/>
      <c r="J63" s="947"/>
      <c r="K63" s="947"/>
    </row>
    <row r="64" spans="1:13" s="408" customFormat="1" ht="18" hidden="1" customHeight="1" x14ac:dyDescent="0.25">
      <c r="A64" s="1372"/>
      <c r="B64" s="1373"/>
      <c r="C64" s="1375"/>
      <c r="D64" s="1375"/>
      <c r="E64" s="1378"/>
      <c r="F64" s="1377">
        <f>+E64*B64</f>
        <v>0</v>
      </c>
      <c r="G64" s="947"/>
      <c r="H64" s="947"/>
      <c r="I64" s="947"/>
      <c r="J64" s="947"/>
      <c r="K64" s="947"/>
    </row>
    <row r="65" spans="1:11" s="408" customFormat="1" ht="15.75" hidden="1" customHeight="1" x14ac:dyDescent="0.25">
      <c r="A65" s="1372"/>
      <c r="B65" s="1373"/>
      <c r="C65" s="1375"/>
      <c r="D65" s="1375"/>
      <c r="E65" s="1378"/>
      <c r="F65" s="1377">
        <f>+E65*B65</f>
        <v>0</v>
      </c>
      <c r="G65" s="947"/>
      <c r="H65" s="947"/>
      <c r="I65" s="947"/>
      <c r="J65" s="947"/>
      <c r="K65" s="947"/>
    </row>
    <row r="66" spans="1:11" s="408" customFormat="1" hidden="1" x14ac:dyDescent="0.25">
      <c r="E66" s="947"/>
      <c r="F66" s="947"/>
      <c r="G66" s="947"/>
      <c r="H66" s="947"/>
      <c r="I66" s="947"/>
      <c r="J66" s="947"/>
      <c r="K66" s="947"/>
    </row>
    <row r="67" spans="1:11" s="408" customFormat="1" x14ac:dyDescent="0.25">
      <c r="A67" s="2348" t="s">
        <v>811</v>
      </c>
      <c r="B67" s="2348"/>
      <c r="C67" s="2348"/>
      <c r="D67" s="2348"/>
      <c r="E67" s="2348"/>
      <c r="F67" s="2348"/>
      <c r="G67" s="947"/>
      <c r="H67" s="947"/>
      <c r="I67" s="947"/>
      <c r="J67" s="947"/>
      <c r="K67" s="947"/>
    </row>
    <row r="68" spans="1:11" s="408" customFormat="1" ht="52.5" customHeight="1" x14ac:dyDescent="0.25">
      <c r="A68" s="2287" t="s">
        <v>812</v>
      </c>
      <c r="B68" s="2288"/>
      <c r="C68" s="2288"/>
      <c r="D68" s="2288"/>
      <c r="E68" s="2288"/>
      <c r="F68" s="2289"/>
      <c r="G68" s="947"/>
      <c r="H68" s="947"/>
      <c r="I68" s="947"/>
      <c r="J68" s="947"/>
      <c r="K68" s="947"/>
    </row>
    <row r="69" spans="1:11" s="408" customFormat="1" x14ac:dyDescent="0.25">
      <c r="A69" s="2349" t="s">
        <v>813</v>
      </c>
      <c r="B69" s="2350"/>
      <c r="C69" s="2350"/>
      <c r="D69" s="2350"/>
      <c r="E69" s="2350"/>
      <c r="F69" s="2351"/>
      <c r="G69" s="947"/>
      <c r="H69" s="947"/>
      <c r="I69" s="947"/>
      <c r="J69" s="947"/>
      <c r="K69" s="947"/>
    </row>
    <row r="70" spans="1:11" s="408" customFormat="1" x14ac:dyDescent="0.25">
      <c r="A70" s="2349" t="s">
        <v>804</v>
      </c>
      <c r="B70" s="2351"/>
      <c r="C70" s="2349" t="s">
        <v>814</v>
      </c>
      <c r="D70" s="2351"/>
      <c r="E70" s="432" t="s">
        <v>815</v>
      </c>
      <c r="F70" s="432" t="s">
        <v>816</v>
      </c>
      <c r="G70" s="947"/>
      <c r="H70" s="947"/>
      <c r="I70" s="947"/>
      <c r="J70" s="947"/>
      <c r="K70" s="947"/>
    </row>
    <row r="71" spans="1:11" s="408" customFormat="1" x14ac:dyDescent="0.25">
      <c r="A71" s="2365">
        <v>0.8</v>
      </c>
      <c r="B71" s="2366"/>
      <c r="C71" s="2369" t="s">
        <v>784</v>
      </c>
      <c r="D71" s="2370"/>
      <c r="E71" s="427">
        <f>+D34</f>
        <v>300000000</v>
      </c>
      <c r="F71" s="428">
        <f>IF(E71="","",E71*A71)</f>
        <v>240000000</v>
      </c>
      <c r="G71" s="947"/>
      <c r="H71" s="947"/>
      <c r="I71" s="947"/>
      <c r="J71" s="947"/>
      <c r="K71" s="947"/>
    </row>
    <row r="72" spans="1:11" s="408" customFormat="1" x14ac:dyDescent="0.25">
      <c r="A72" s="2365">
        <v>0.67</v>
      </c>
      <c r="B72" s="2366"/>
      <c r="C72" s="2369" t="s">
        <v>787</v>
      </c>
      <c r="D72" s="2370"/>
      <c r="E72" s="427">
        <f>+D39</f>
        <v>30400000</v>
      </c>
      <c r="F72" s="428">
        <f>IF(E72="","",E72*A72)</f>
        <v>20368000</v>
      </c>
      <c r="G72" s="947"/>
      <c r="H72" s="947"/>
      <c r="I72" s="947"/>
      <c r="J72" s="947"/>
      <c r="K72" s="947"/>
    </row>
    <row r="73" spans="1:11" s="408" customFormat="1" x14ac:dyDescent="0.25">
      <c r="A73" s="2371" t="s">
        <v>817</v>
      </c>
      <c r="B73" s="2372"/>
      <c r="C73" s="2372"/>
      <c r="D73" s="2372"/>
      <c r="E73" s="2372"/>
      <c r="F73" s="2373"/>
      <c r="G73" s="947"/>
      <c r="H73" s="947"/>
      <c r="I73" s="947"/>
      <c r="J73" s="947"/>
      <c r="K73" s="947"/>
    </row>
    <row r="74" spans="1:11" s="408" customFormat="1" x14ac:dyDescent="0.25">
      <c r="A74" s="2374" t="s">
        <v>804</v>
      </c>
      <c r="B74" s="2375"/>
      <c r="C74" s="2374" t="s">
        <v>814</v>
      </c>
      <c r="D74" s="2375"/>
      <c r="E74" s="426" t="s">
        <v>818</v>
      </c>
      <c r="F74" s="426" t="s">
        <v>816</v>
      </c>
      <c r="G74" s="947"/>
      <c r="H74" s="947"/>
      <c r="I74" s="947"/>
      <c r="J74" s="947"/>
      <c r="K74" s="947"/>
    </row>
    <row r="75" spans="1:11" s="408" customFormat="1" x14ac:dyDescent="0.25">
      <c r="A75" s="2365">
        <v>0.64</v>
      </c>
      <c r="B75" s="2366"/>
      <c r="C75" s="2367" t="s">
        <v>819</v>
      </c>
      <c r="D75" s="2368"/>
      <c r="E75" s="429">
        <v>10500000000</v>
      </c>
      <c r="F75" s="428">
        <f>IF(E75="","",A75*E75)</f>
        <v>6720000000</v>
      </c>
      <c r="G75" s="947"/>
      <c r="H75" s="947"/>
      <c r="I75" s="947"/>
      <c r="J75" s="947"/>
      <c r="K75" s="947"/>
    </row>
    <row r="76" spans="1:11" s="408" customFormat="1" x14ac:dyDescent="0.25">
      <c r="A76" s="2365"/>
      <c r="B76" s="2366"/>
      <c r="C76" s="2367"/>
      <c r="D76" s="2368"/>
      <c r="E76" s="429"/>
      <c r="F76" s="428" t="str">
        <f t="shared" ref="F76:F81" si="1">IF(E76="","",A76*E76)</f>
        <v/>
      </c>
      <c r="G76" s="947"/>
      <c r="H76" s="947"/>
      <c r="I76" s="947"/>
      <c r="J76" s="947"/>
      <c r="K76" s="947"/>
    </row>
    <row r="77" spans="1:11" s="408" customFormat="1" x14ac:dyDescent="0.25">
      <c r="A77" s="2365"/>
      <c r="B77" s="2366"/>
      <c r="C77" s="2367"/>
      <c r="D77" s="2368"/>
      <c r="E77" s="977"/>
      <c r="F77" s="428" t="str">
        <f t="shared" si="1"/>
        <v/>
      </c>
      <c r="G77" s="947"/>
      <c r="H77" s="947"/>
      <c r="I77" s="947"/>
      <c r="J77" s="947"/>
      <c r="K77" s="947"/>
    </row>
    <row r="78" spans="1:11" s="408" customFormat="1" x14ac:dyDescent="0.25">
      <c r="A78" s="2365"/>
      <c r="B78" s="2366"/>
      <c r="C78" s="2367"/>
      <c r="D78" s="2368"/>
      <c r="E78" s="977"/>
      <c r="F78" s="428" t="str">
        <f t="shared" si="1"/>
        <v/>
      </c>
      <c r="G78" s="947"/>
      <c r="H78" s="947"/>
      <c r="I78" s="947"/>
      <c r="J78" s="947"/>
      <c r="K78" s="947"/>
    </row>
    <row r="79" spans="1:11" s="408" customFormat="1" x14ac:dyDescent="0.25">
      <c r="A79" s="2365"/>
      <c r="B79" s="2366"/>
      <c r="C79" s="2367"/>
      <c r="D79" s="2368"/>
      <c r="E79" s="977"/>
      <c r="F79" s="428" t="str">
        <f t="shared" si="1"/>
        <v/>
      </c>
      <c r="G79" s="947"/>
      <c r="H79" s="947"/>
      <c r="I79" s="947"/>
      <c r="J79" s="947"/>
      <c r="K79" s="947"/>
    </row>
    <row r="80" spans="1:11" s="408" customFormat="1" x14ac:dyDescent="0.25">
      <c r="A80" s="2365"/>
      <c r="B80" s="2366"/>
      <c r="C80" s="2367"/>
      <c r="D80" s="2368"/>
      <c r="E80" s="977"/>
      <c r="F80" s="428" t="str">
        <f t="shared" si="1"/>
        <v/>
      </c>
      <c r="G80" s="947"/>
      <c r="H80" s="947"/>
      <c r="I80" s="947"/>
      <c r="J80" s="947"/>
      <c r="K80" s="947"/>
    </row>
    <row r="81" spans="1:14" s="408" customFormat="1" x14ac:dyDescent="0.25">
      <c r="A81" s="2376"/>
      <c r="B81" s="2376"/>
      <c r="C81" s="2377"/>
      <c r="D81" s="2377"/>
      <c r="E81" s="977"/>
      <c r="F81" s="428" t="str">
        <f t="shared" si="1"/>
        <v/>
      </c>
      <c r="G81" s="947"/>
      <c r="H81" s="947"/>
      <c r="I81" s="947"/>
      <c r="J81" s="947"/>
      <c r="K81" s="947"/>
    </row>
    <row r="82" spans="1:14" s="408" customFormat="1" x14ac:dyDescent="0.25">
      <c r="A82" s="430"/>
      <c r="B82" s="430"/>
      <c r="C82" s="379"/>
      <c r="D82" s="379"/>
      <c r="E82" s="978"/>
      <c r="F82" s="979"/>
      <c r="G82" s="947"/>
      <c r="H82" s="947"/>
      <c r="I82" s="947"/>
      <c r="J82" s="947"/>
      <c r="K82" s="947"/>
    </row>
    <row r="83" spans="1:14" s="408" customFormat="1" hidden="1" x14ac:dyDescent="0.25">
      <c r="A83" s="2348" t="s">
        <v>820</v>
      </c>
      <c r="B83" s="2348"/>
      <c r="C83" s="2348"/>
      <c r="D83" s="2348"/>
      <c r="E83" s="2348"/>
      <c r="F83" s="2348"/>
      <c r="G83" s="431"/>
      <c r="H83" s="947"/>
      <c r="I83" s="947"/>
      <c r="J83" s="947"/>
      <c r="K83" s="431"/>
      <c r="L83" s="431"/>
    </row>
    <row r="84" spans="1:14" s="408" customFormat="1" ht="60" hidden="1" customHeight="1" x14ac:dyDescent="0.25">
      <c r="A84" s="2347" t="s">
        <v>821</v>
      </c>
      <c r="B84" s="2347"/>
      <c r="C84" s="2347"/>
      <c r="D84" s="2347"/>
      <c r="E84" s="2347"/>
      <c r="F84" s="2347"/>
      <c r="G84" s="431"/>
      <c r="H84" s="947"/>
      <c r="I84" s="947"/>
      <c r="J84" s="947"/>
      <c r="K84" s="431"/>
      <c r="L84" s="431"/>
    </row>
    <row r="85" spans="1:14" s="408" customFormat="1" ht="30" hidden="1" x14ac:dyDescent="0.25">
      <c r="A85" s="432" t="s">
        <v>804</v>
      </c>
      <c r="B85" s="2349" t="s">
        <v>822</v>
      </c>
      <c r="C85" s="2351"/>
      <c r="D85" s="433" t="s">
        <v>823</v>
      </c>
      <c r="E85" s="2378" t="s">
        <v>824</v>
      </c>
      <c r="F85" s="2379"/>
      <c r="G85" s="431"/>
      <c r="H85" s="947"/>
      <c r="I85" s="947"/>
      <c r="J85" s="947"/>
      <c r="K85" s="431"/>
      <c r="L85" s="431"/>
    </row>
    <row r="86" spans="1:14" s="408" customFormat="1" hidden="1" x14ac:dyDescent="0.25">
      <c r="A86" s="425">
        <v>0.04</v>
      </c>
      <c r="B86" s="2380"/>
      <c r="C86" s="2381"/>
      <c r="D86" s="434">
        <f>+B86*A86</f>
        <v>0</v>
      </c>
      <c r="E86" s="2382" t="s">
        <v>825</v>
      </c>
      <c r="F86" s="2383"/>
      <c r="G86" s="431"/>
      <c r="H86" s="947"/>
      <c r="I86" s="947"/>
      <c r="J86" s="947"/>
      <c r="K86" s="431"/>
      <c r="L86" s="431"/>
    </row>
    <row r="87" spans="1:14" s="408" customFormat="1" ht="15" hidden="1" customHeight="1" x14ac:dyDescent="0.25">
      <c r="A87" s="435"/>
      <c r="B87" s="2380"/>
      <c r="C87" s="2381"/>
      <c r="D87" s="434">
        <f>+B87*A87</f>
        <v>0</v>
      </c>
      <c r="E87" s="2382"/>
      <c r="F87" s="2383"/>
      <c r="G87" s="947"/>
      <c r="H87" s="947"/>
      <c r="I87" s="947"/>
      <c r="J87" s="947"/>
      <c r="K87" s="947"/>
    </row>
    <row r="88" spans="1:14" s="408" customFormat="1" hidden="1" x14ac:dyDescent="0.25">
      <c r="A88" s="435"/>
      <c r="B88" s="2380"/>
      <c r="C88" s="2381"/>
      <c r="D88" s="434">
        <f t="shared" ref="D88:D93" si="2">+B88*A88</f>
        <v>0</v>
      </c>
      <c r="E88" s="2382"/>
      <c r="F88" s="2383"/>
      <c r="G88" s="947"/>
      <c r="H88" s="947"/>
      <c r="I88" s="947"/>
      <c r="J88" s="947"/>
      <c r="K88" s="947"/>
    </row>
    <row r="89" spans="1:14" s="408" customFormat="1" hidden="1" x14ac:dyDescent="0.25">
      <c r="A89" s="435"/>
      <c r="B89" s="2380"/>
      <c r="C89" s="2381"/>
      <c r="D89" s="434">
        <f t="shared" si="2"/>
        <v>0</v>
      </c>
      <c r="E89" s="2382"/>
      <c r="F89" s="2383"/>
      <c r="G89" s="947"/>
      <c r="H89" s="947"/>
      <c r="I89" s="947"/>
      <c r="J89" s="947"/>
      <c r="K89" s="947"/>
      <c r="N89" s="436"/>
    </row>
    <row r="90" spans="1:14" s="408" customFormat="1" hidden="1" x14ac:dyDescent="0.25">
      <c r="A90" s="435"/>
      <c r="B90" s="2380"/>
      <c r="C90" s="2381"/>
      <c r="D90" s="434">
        <f t="shared" si="2"/>
        <v>0</v>
      </c>
      <c r="E90" s="2382"/>
      <c r="F90" s="2383"/>
      <c r="G90" s="947"/>
      <c r="H90" s="947"/>
      <c r="I90" s="947"/>
      <c r="J90" s="947"/>
      <c r="K90" s="947"/>
    </row>
    <row r="91" spans="1:14" s="408" customFormat="1" hidden="1" x14ac:dyDescent="0.25">
      <c r="A91" s="435"/>
      <c r="B91" s="2380"/>
      <c r="C91" s="2381"/>
      <c r="D91" s="434">
        <f t="shared" si="2"/>
        <v>0</v>
      </c>
      <c r="E91" s="2382"/>
      <c r="F91" s="2383"/>
      <c r="G91" s="947"/>
      <c r="H91" s="947"/>
      <c r="I91" s="947"/>
      <c r="J91" s="947"/>
      <c r="K91" s="947"/>
    </row>
    <row r="92" spans="1:14" s="408" customFormat="1" hidden="1" x14ac:dyDescent="0.25">
      <c r="A92" s="435"/>
      <c r="B92" s="2380"/>
      <c r="C92" s="2381"/>
      <c r="D92" s="434">
        <f t="shared" si="2"/>
        <v>0</v>
      </c>
      <c r="E92" s="2382"/>
      <c r="F92" s="2383"/>
      <c r="G92" s="947"/>
      <c r="H92" s="947"/>
      <c r="I92" s="947"/>
      <c r="J92" s="947"/>
      <c r="K92" s="947"/>
    </row>
    <row r="93" spans="1:14" s="408" customFormat="1" hidden="1" x14ac:dyDescent="0.25">
      <c r="A93" s="435"/>
      <c r="B93" s="2380"/>
      <c r="C93" s="2381"/>
      <c r="D93" s="434">
        <f t="shared" si="2"/>
        <v>0</v>
      </c>
      <c r="E93" s="2382"/>
      <c r="F93" s="2383"/>
      <c r="G93" s="947"/>
      <c r="H93" s="947"/>
      <c r="I93" s="947"/>
      <c r="J93" s="947"/>
      <c r="K93" s="947"/>
    </row>
    <row r="94" spans="1:14" s="408" customFormat="1" ht="21.75" hidden="1" customHeight="1" x14ac:dyDescent="0.25">
      <c r="A94" s="437" t="s">
        <v>826</v>
      </c>
      <c r="B94" s="437"/>
      <c r="E94" s="947"/>
      <c r="F94" s="947"/>
      <c r="G94" s="947"/>
      <c r="H94" s="947"/>
      <c r="I94" s="947"/>
      <c r="J94" s="947"/>
      <c r="K94" s="947"/>
    </row>
    <row r="95" spans="1:14" s="374" customFormat="1" x14ac:dyDescent="0.25">
      <c r="A95" s="1383" t="s">
        <v>464</v>
      </c>
      <c r="B95" s="2386" t="s">
        <v>827</v>
      </c>
      <c r="C95" s="2387"/>
      <c r="D95" s="1384" t="s">
        <v>828</v>
      </c>
      <c r="E95" s="699"/>
      <c r="F95" s="699"/>
      <c r="G95" s="980"/>
      <c r="H95" s="981"/>
      <c r="I95" s="981"/>
      <c r="J95" s="981"/>
      <c r="K95" s="981"/>
    </row>
    <row r="96" spans="1:14" s="374" customFormat="1" x14ac:dyDescent="0.25">
      <c r="A96" s="1226"/>
      <c r="B96" s="2384"/>
      <c r="C96" s="2385"/>
      <c r="D96" s="424"/>
      <c r="E96" s="982"/>
      <c r="F96" s="982"/>
      <c r="G96" s="983"/>
      <c r="H96" s="981"/>
      <c r="I96" s="981"/>
      <c r="J96" s="981"/>
      <c r="K96" s="981"/>
    </row>
    <row r="97" spans="1:11" s="374" customFormat="1" x14ac:dyDescent="0.25">
      <c r="A97" s="1226"/>
      <c r="B97" s="2384"/>
      <c r="C97" s="2385"/>
      <c r="D97" s="424"/>
      <c r="E97" s="982"/>
      <c r="F97" s="982"/>
      <c r="G97" s="983"/>
      <c r="H97" s="984"/>
      <c r="I97" s="981"/>
      <c r="J97" s="981"/>
      <c r="K97" s="981"/>
    </row>
    <row r="98" spans="1:11" s="374" customFormat="1" x14ac:dyDescent="0.25">
      <c r="A98" s="1226"/>
      <c r="B98" s="2384"/>
      <c r="C98" s="2385"/>
      <c r="D98" s="424"/>
      <c r="E98" s="982"/>
      <c r="F98" s="982"/>
      <c r="G98" s="983"/>
      <c r="H98" s="984"/>
      <c r="I98" s="981"/>
      <c r="J98" s="981"/>
      <c r="K98" s="981"/>
    </row>
    <row r="99" spans="1:11" s="374" customFormat="1" x14ac:dyDescent="0.25">
      <c r="A99" s="1226"/>
      <c r="B99" s="2384"/>
      <c r="C99" s="2385"/>
      <c r="D99" s="424" t="s">
        <v>144</v>
      </c>
      <c r="E99" s="982"/>
      <c r="F99" s="982"/>
      <c r="G99" s="983"/>
      <c r="H99" s="981"/>
      <c r="I99" s="981"/>
      <c r="J99" s="981"/>
      <c r="K99" s="981"/>
    </row>
    <row r="100" spans="1:11" s="374" customFormat="1" x14ac:dyDescent="0.25">
      <c r="A100" s="1226"/>
      <c r="B100" s="2384"/>
      <c r="C100" s="2385"/>
      <c r="D100" s="424"/>
      <c r="E100" s="982"/>
      <c r="F100" s="982"/>
      <c r="G100" s="983"/>
      <c r="H100" s="981"/>
      <c r="I100" s="981"/>
      <c r="J100" s="981"/>
      <c r="K100" s="981"/>
    </row>
    <row r="101" spans="1:11" s="374" customFormat="1" x14ac:dyDescent="0.25">
      <c r="A101" s="1226"/>
      <c r="B101" s="2384"/>
      <c r="C101" s="2385"/>
      <c r="D101" s="424"/>
      <c r="E101" s="982"/>
      <c r="F101" s="982"/>
      <c r="G101" s="983"/>
      <c r="H101" s="981"/>
      <c r="I101" s="981"/>
      <c r="J101" s="981"/>
      <c r="K101" s="981"/>
    </row>
    <row r="102" spans="1:11" s="374" customFormat="1" x14ac:dyDescent="0.25">
      <c r="A102" s="1226"/>
      <c r="B102" s="2384"/>
      <c r="C102" s="2385"/>
      <c r="D102" s="424"/>
      <c r="E102" s="982"/>
      <c r="F102" s="982"/>
      <c r="G102" s="983"/>
      <c r="H102" s="981"/>
      <c r="I102" s="981"/>
      <c r="J102" s="981"/>
      <c r="K102" s="981"/>
    </row>
    <row r="103" spans="1:11" s="374" customFormat="1" x14ac:dyDescent="0.25">
      <c r="A103" s="1226"/>
      <c r="B103" s="2384"/>
      <c r="C103" s="2385"/>
      <c r="D103" s="424"/>
      <c r="E103" s="982"/>
      <c r="F103" s="982"/>
      <c r="G103" s="983"/>
      <c r="H103" s="981"/>
      <c r="I103" s="981"/>
      <c r="J103" s="981"/>
      <c r="K103" s="981"/>
    </row>
    <row r="104" spans="1:11" s="374" customFormat="1" x14ac:dyDescent="0.25">
      <c r="A104" s="1226"/>
      <c r="B104" s="2384"/>
      <c r="C104" s="2385"/>
      <c r="D104" s="424"/>
      <c r="E104" s="982"/>
      <c r="F104" s="982"/>
      <c r="G104" s="983"/>
      <c r="H104" s="981"/>
      <c r="I104" s="981"/>
      <c r="J104" s="981"/>
      <c r="K104" s="981"/>
    </row>
    <row r="105" spans="1:11" s="374" customFormat="1" x14ac:dyDescent="0.25">
      <c r="A105" s="1226"/>
      <c r="B105" s="2384"/>
      <c r="C105" s="2385"/>
      <c r="D105" s="424"/>
      <c r="E105" s="982"/>
      <c r="F105" s="982"/>
      <c r="G105" s="983"/>
      <c r="H105" s="981"/>
      <c r="I105" s="981"/>
      <c r="J105" s="981"/>
      <c r="K105" s="981"/>
    </row>
    <row r="106" spans="1:11" s="374" customFormat="1" x14ac:dyDescent="0.25">
      <c r="A106" s="1226"/>
      <c r="B106" s="2384"/>
      <c r="C106" s="2385"/>
      <c r="D106" s="424"/>
      <c r="E106" s="982"/>
      <c r="F106" s="982"/>
      <c r="G106" s="983"/>
      <c r="H106" s="981"/>
      <c r="I106" s="981"/>
      <c r="J106" s="981"/>
      <c r="K106" s="981"/>
    </row>
    <row r="107" spans="1:11" s="374" customFormat="1" x14ac:dyDescent="0.25">
      <c r="A107" s="1226"/>
      <c r="B107" s="2384"/>
      <c r="C107" s="2385"/>
      <c r="D107" s="424"/>
      <c r="E107" s="982"/>
      <c r="F107" s="982"/>
      <c r="G107" s="983"/>
      <c r="H107" s="981"/>
      <c r="I107" s="981"/>
      <c r="J107" s="981"/>
      <c r="K107" s="981"/>
    </row>
    <row r="108" spans="1:11" s="374" customFormat="1" x14ac:dyDescent="0.25">
      <c r="A108" s="1226"/>
      <c r="B108" s="2384"/>
      <c r="C108" s="2385"/>
      <c r="D108" s="424"/>
      <c r="E108" s="982"/>
      <c r="F108" s="982"/>
      <c r="G108" s="983"/>
      <c r="H108" s="981"/>
      <c r="I108" s="981"/>
      <c r="J108" s="981"/>
      <c r="K108" s="981"/>
    </row>
    <row r="109" spans="1:11" s="374" customFormat="1" x14ac:dyDescent="0.25">
      <c r="A109" s="1226"/>
      <c r="B109" s="2384"/>
      <c r="C109" s="2385"/>
      <c r="D109" s="424"/>
      <c r="E109" s="982"/>
      <c r="F109" s="982"/>
      <c r="G109" s="983"/>
      <c r="H109" s="981"/>
      <c r="I109" s="981"/>
      <c r="J109" s="981"/>
      <c r="K109" s="981"/>
    </row>
    <row r="110" spans="1:11" s="374" customFormat="1" x14ac:dyDescent="0.25">
      <c r="A110" s="1226"/>
      <c r="B110" s="2384"/>
      <c r="C110" s="2385"/>
      <c r="D110" s="424"/>
      <c r="E110" s="982"/>
      <c r="F110" s="982"/>
      <c r="G110" s="983"/>
      <c r="H110" s="981"/>
      <c r="I110" s="981"/>
      <c r="J110" s="981"/>
      <c r="K110" s="981"/>
    </row>
    <row r="111" spans="1:11" s="408" customFormat="1" x14ac:dyDescent="0.25">
      <c r="A111" s="1226"/>
      <c r="B111" s="2384"/>
      <c r="C111" s="2385"/>
      <c r="D111" s="424"/>
      <c r="E111" s="982"/>
      <c r="F111" s="982"/>
      <c r="G111" s="947"/>
      <c r="H111" s="947"/>
      <c r="I111" s="947"/>
      <c r="J111" s="947"/>
      <c r="K111" s="947"/>
    </row>
    <row r="112" spans="1:11" s="408" customFormat="1" x14ac:dyDescent="0.25">
      <c r="A112" s="1226"/>
      <c r="B112" s="2384"/>
      <c r="C112" s="2385"/>
      <c r="D112" s="424"/>
      <c r="E112" s="982"/>
      <c r="F112" s="982"/>
      <c r="G112" s="947"/>
      <c r="H112" s="947"/>
      <c r="I112" s="947"/>
      <c r="J112" s="947"/>
      <c r="K112" s="947"/>
    </row>
    <row r="113" spans="1:11" s="408" customFormat="1" x14ac:dyDescent="0.25">
      <c r="A113" s="1226"/>
      <c r="B113" s="2384"/>
      <c r="C113" s="2385"/>
      <c r="D113" s="424"/>
      <c r="E113" s="982"/>
      <c r="F113" s="982"/>
      <c r="G113" s="947"/>
      <c r="H113" s="947"/>
      <c r="I113" s="947"/>
      <c r="J113" s="947"/>
      <c r="K113" s="947"/>
    </row>
    <row r="114" spans="1:11" s="408" customFormat="1" x14ac:dyDescent="0.25">
      <c r="A114" s="1226"/>
      <c r="B114" s="2384"/>
      <c r="C114" s="2385"/>
      <c r="D114" s="424"/>
      <c r="E114" s="982"/>
      <c r="F114" s="982"/>
      <c r="G114" s="947"/>
      <c r="H114" s="947"/>
      <c r="I114" s="947"/>
      <c r="J114" s="947"/>
      <c r="K114" s="947"/>
    </row>
    <row r="115" spans="1:11" s="408" customFormat="1" x14ac:dyDescent="0.25">
      <c r="A115" s="1226"/>
      <c r="B115" s="2384"/>
      <c r="C115" s="2385"/>
      <c r="D115" s="424"/>
      <c r="E115" s="982"/>
      <c r="F115" s="982"/>
      <c r="G115" s="947"/>
      <c r="H115" s="947"/>
      <c r="I115" s="947"/>
      <c r="J115" s="947"/>
      <c r="K115" s="947"/>
    </row>
    <row r="116" spans="1:11" s="408" customFormat="1" x14ac:dyDescent="0.25">
      <c r="A116" s="1226"/>
      <c r="B116" s="2384"/>
      <c r="C116" s="2385"/>
      <c r="D116" s="424"/>
      <c r="E116" s="982"/>
      <c r="F116" s="982"/>
      <c r="G116" s="947"/>
      <c r="H116" s="947"/>
      <c r="I116" s="947"/>
      <c r="J116" s="947"/>
      <c r="K116" s="947"/>
    </row>
    <row r="117" spans="1:11" s="408" customFormat="1" x14ac:dyDescent="0.25">
      <c r="A117" s="1226"/>
      <c r="B117" s="2384"/>
      <c r="C117" s="2385"/>
      <c r="D117" s="424"/>
      <c r="E117" s="982"/>
      <c r="F117" s="982"/>
      <c r="G117" s="947"/>
      <c r="H117" s="947"/>
      <c r="I117" s="947"/>
      <c r="J117" s="947"/>
      <c r="K117" s="947"/>
    </row>
    <row r="118" spans="1:11" s="408" customFormat="1" x14ac:dyDescent="0.25">
      <c r="A118" s="1226"/>
      <c r="B118" s="2384"/>
      <c r="C118" s="2385"/>
      <c r="D118" s="424"/>
      <c r="E118" s="982"/>
      <c r="F118" s="982"/>
      <c r="G118" s="947"/>
      <c r="H118" s="947"/>
      <c r="I118" s="947"/>
      <c r="J118" s="947"/>
      <c r="K118" s="947"/>
    </row>
    <row r="119" spans="1:11" s="408" customFormat="1" x14ac:dyDescent="0.25">
      <c r="A119" s="1226"/>
      <c r="B119" s="2384"/>
      <c r="C119" s="2385"/>
      <c r="D119" s="424"/>
      <c r="E119" s="982"/>
      <c r="F119" s="982"/>
      <c r="G119" s="947"/>
      <c r="H119" s="947"/>
      <c r="I119" s="947"/>
      <c r="J119" s="947"/>
      <c r="K119" s="947"/>
    </row>
    <row r="120" spans="1:11" s="408" customFormat="1" x14ac:dyDescent="0.25">
      <c r="A120" s="1226"/>
      <c r="B120" s="2384"/>
      <c r="C120" s="2385"/>
      <c r="D120" s="424"/>
      <c r="E120" s="982"/>
      <c r="F120" s="982"/>
      <c r="G120" s="947"/>
      <c r="H120" s="947"/>
      <c r="I120" s="947"/>
      <c r="J120" s="947"/>
      <c r="K120" s="947"/>
    </row>
    <row r="121" spans="1:11" s="408" customFormat="1" x14ac:dyDescent="0.25">
      <c r="A121" s="1226"/>
      <c r="B121" s="2384"/>
      <c r="C121" s="2385"/>
      <c r="D121" s="424"/>
      <c r="E121" s="982"/>
      <c r="F121" s="982"/>
      <c r="G121" s="947"/>
      <c r="H121" s="947"/>
      <c r="I121" s="947"/>
      <c r="J121" s="947"/>
      <c r="K121" s="947"/>
    </row>
    <row r="122" spans="1:11" s="408" customFormat="1" x14ac:dyDescent="0.25">
      <c r="A122" s="1226"/>
      <c r="B122" s="2384"/>
      <c r="C122" s="2385"/>
      <c r="D122" s="424"/>
      <c r="E122" s="982"/>
      <c r="F122" s="982"/>
      <c r="G122" s="947"/>
      <c r="H122" s="947"/>
      <c r="I122" s="947"/>
      <c r="J122" s="947"/>
      <c r="K122" s="947"/>
    </row>
    <row r="123" spans="1:11" s="408" customFormat="1" x14ac:dyDescent="0.25">
      <c r="A123" s="1226"/>
      <c r="B123" s="2384"/>
      <c r="C123" s="2385"/>
      <c r="D123" s="424"/>
      <c r="E123" s="982"/>
      <c r="F123" s="982"/>
      <c r="G123" s="947"/>
      <c r="H123" s="947"/>
      <c r="I123" s="947"/>
      <c r="J123" s="947"/>
      <c r="K123" s="947"/>
    </row>
    <row r="124" spans="1:11" s="408" customFormat="1" x14ac:dyDescent="0.25">
      <c r="A124" s="1226"/>
      <c r="B124" s="2384"/>
      <c r="C124" s="2385"/>
      <c r="D124" s="424"/>
      <c r="E124" s="982"/>
      <c r="F124" s="982"/>
      <c r="G124" s="947"/>
      <c r="H124" s="947"/>
      <c r="I124" s="947"/>
      <c r="J124" s="947"/>
      <c r="K124" s="947"/>
    </row>
    <row r="125" spans="1:11" s="408" customFormat="1" x14ac:dyDescent="0.25">
      <c r="A125" s="1226"/>
      <c r="B125" s="2384"/>
      <c r="C125" s="2385"/>
      <c r="D125" s="424"/>
      <c r="E125" s="982"/>
      <c r="F125" s="982"/>
      <c r="G125" s="947"/>
      <c r="H125" s="947"/>
      <c r="I125" s="947"/>
      <c r="J125" s="947"/>
      <c r="K125" s="947"/>
    </row>
    <row r="126" spans="1:11" s="408" customFormat="1" x14ac:dyDescent="0.25">
      <c r="A126" s="1226"/>
      <c r="B126" s="2384"/>
      <c r="C126" s="2385"/>
      <c r="D126" s="424"/>
      <c r="E126" s="982"/>
      <c r="F126" s="982"/>
      <c r="G126" s="947"/>
      <c r="H126" s="947"/>
      <c r="I126" s="947"/>
      <c r="J126" s="947"/>
      <c r="K126" s="947"/>
    </row>
    <row r="127" spans="1:11" s="408" customFormat="1" x14ac:dyDescent="0.25">
      <c r="A127" s="1226"/>
      <c r="B127" s="2384"/>
      <c r="C127" s="2385"/>
      <c r="D127" s="424"/>
      <c r="E127" s="982"/>
      <c r="F127" s="982"/>
      <c r="G127" s="947"/>
      <c r="H127" s="947"/>
      <c r="I127" s="947"/>
      <c r="J127" s="947"/>
      <c r="K127" s="947"/>
    </row>
    <row r="128" spans="1:11" s="408" customFormat="1" x14ac:dyDescent="0.25">
      <c r="A128" s="1226"/>
      <c r="B128" s="2384"/>
      <c r="C128" s="2385"/>
      <c r="D128" s="424"/>
      <c r="E128" s="982"/>
      <c r="F128" s="982"/>
      <c r="G128" s="947"/>
      <c r="H128" s="947"/>
      <c r="I128" s="947"/>
      <c r="J128" s="947"/>
      <c r="K128" s="947"/>
    </row>
    <row r="129" spans="1:11" s="408" customFormat="1" x14ac:dyDescent="0.25">
      <c r="A129" s="1226"/>
      <c r="B129" s="2384"/>
      <c r="C129" s="2385"/>
      <c r="D129" s="424"/>
      <c r="E129" s="982"/>
      <c r="F129" s="982"/>
      <c r="G129" s="947"/>
      <c r="H129" s="947"/>
      <c r="I129" s="947"/>
      <c r="J129" s="947"/>
      <c r="K129" s="947"/>
    </row>
    <row r="130" spans="1:11" s="408" customFormat="1" x14ac:dyDescent="0.25">
      <c r="A130" s="1226"/>
      <c r="B130" s="2384"/>
      <c r="C130" s="2385"/>
      <c r="D130" s="424"/>
      <c r="E130" s="982"/>
      <c r="F130" s="982"/>
      <c r="G130" s="947"/>
      <c r="H130" s="947"/>
      <c r="I130" s="947"/>
      <c r="J130" s="947"/>
      <c r="K130" s="947"/>
    </row>
    <row r="131" spans="1:11" s="408" customFormat="1" x14ac:dyDescent="0.25">
      <c r="A131" s="1226"/>
      <c r="B131" s="2384"/>
      <c r="C131" s="2385"/>
      <c r="D131" s="424"/>
      <c r="E131" s="982"/>
      <c r="F131" s="982"/>
      <c r="G131" s="947"/>
      <c r="H131" s="947"/>
      <c r="I131" s="947"/>
      <c r="J131" s="947"/>
      <c r="K131" s="947"/>
    </row>
    <row r="132" spans="1:11" s="408" customFormat="1" x14ac:dyDescent="0.25">
      <c r="A132" s="1226"/>
      <c r="B132" s="2384"/>
      <c r="C132" s="2385"/>
      <c r="D132" s="424"/>
      <c r="E132" s="982"/>
      <c r="F132" s="982"/>
      <c r="G132" s="947"/>
      <c r="H132" s="947"/>
      <c r="I132" s="947"/>
      <c r="J132" s="947"/>
      <c r="K132" s="947"/>
    </row>
    <row r="133" spans="1:11" s="408" customFormat="1" x14ac:dyDescent="0.25">
      <c r="A133" s="1226"/>
      <c r="B133" s="2384"/>
      <c r="C133" s="2385"/>
      <c r="D133" s="424"/>
      <c r="E133" s="982"/>
      <c r="F133" s="982"/>
      <c r="G133" s="947"/>
      <c r="H133" s="947"/>
      <c r="I133" s="947"/>
      <c r="J133" s="947"/>
      <c r="K133" s="947"/>
    </row>
    <row r="134" spans="1:11" s="408" customFormat="1" x14ac:dyDescent="0.25">
      <c r="A134" s="1226"/>
      <c r="B134" s="2384"/>
      <c r="C134" s="2385"/>
      <c r="D134" s="424"/>
      <c r="E134" s="982"/>
      <c r="F134" s="982"/>
      <c r="G134" s="947"/>
      <c r="H134" s="947"/>
      <c r="I134" s="947"/>
      <c r="J134" s="947"/>
      <c r="K134" s="947"/>
    </row>
    <row r="135" spans="1:11" s="408" customFormat="1" x14ac:dyDescent="0.25">
      <c r="A135" s="1226"/>
      <c r="B135" s="2384"/>
      <c r="C135" s="2385"/>
      <c r="D135" s="424"/>
      <c r="E135" s="982"/>
      <c r="F135" s="982"/>
      <c r="G135" s="947"/>
      <c r="H135" s="947"/>
      <c r="I135" s="947"/>
      <c r="J135" s="947"/>
      <c r="K135" s="947"/>
    </row>
    <row r="188" hidden="1" x14ac:dyDescent="0.25"/>
    <row r="189" hidden="1" x14ac:dyDescent="0.25"/>
    <row r="190" hidden="1" x14ac:dyDescent="0.25"/>
    <row r="191" hidden="1" x14ac:dyDescent="0.25"/>
    <row r="192" hidden="1" x14ac:dyDescent="0.25"/>
    <row r="193" spans="1:14" hidden="1" x14ac:dyDescent="0.25"/>
    <row r="194" spans="1:14" hidden="1" x14ac:dyDescent="0.25"/>
    <row r="195" spans="1:14" hidden="1" x14ac:dyDescent="0.25"/>
    <row r="196" spans="1:14" hidden="1" x14ac:dyDescent="0.25"/>
    <row r="197" spans="1:14" hidden="1" x14ac:dyDescent="0.25"/>
    <row r="198" spans="1:14" hidden="1" x14ac:dyDescent="0.25"/>
    <row r="199" spans="1:14" hidden="1" x14ac:dyDescent="0.25">
      <c r="A199" s="438" t="s">
        <v>696</v>
      </c>
      <c r="B199" s="438" t="s">
        <v>829</v>
      </c>
      <c r="C199" s="438" t="s">
        <v>687</v>
      </c>
      <c r="D199" s="438" t="s">
        <v>830</v>
      </c>
      <c r="E199" s="985" t="s">
        <v>831</v>
      </c>
      <c r="F199" s="986" t="s">
        <v>832</v>
      </c>
      <c r="G199" s="974"/>
      <c r="H199" s="985" t="s">
        <v>833</v>
      </c>
      <c r="I199" s="985" t="s">
        <v>834</v>
      </c>
      <c r="J199" s="985" t="s">
        <v>835</v>
      </c>
      <c r="K199" s="985" t="s">
        <v>836</v>
      </c>
      <c r="L199" s="438" t="s">
        <v>837</v>
      </c>
      <c r="M199" s="438" t="s">
        <v>838</v>
      </c>
      <c r="N199"/>
    </row>
    <row r="200" spans="1:14" hidden="1" x14ac:dyDescent="0.25">
      <c r="A200" t="s">
        <v>839</v>
      </c>
      <c r="B200" t="s">
        <v>157</v>
      </c>
      <c r="C200" t="s">
        <v>692</v>
      </c>
      <c r="D200" t="s">
        <v>840</v>
      </c>
      <c r="E200" s="974" t="s">
        <v>1907</v>
      </c>
      <c r="F200" s="987" t="s">
        <v>841</v>
      </c>
      <c r="G200" s="974"/>
      <c r="H200" s="974" t="s">
        <v>842</v>
      </c>
      <c r="I200" s="974" t="s">
        <v>843</v>
      </c>
      <c r="J200" s="974" t="s">
        <v>154</v>
      </c>
      <c r="K200" s="974" t="s">
        <v>844</v>
      </c>
      <c r="L200" s="439" t="s">
        <v>845</v>
      </c>
      <c r="M200" t="s">
        <v>846</v>
      </c>
      <c r="N200"/>
    </row>
    <row r="201" spans="1:14" hidden="1" x14ac:dyDescent="0.25">
      <c r="A201" t="s">
        <v>691</v>
      </c>
      <c r="B201" t="s">
        <v>132</v>
      </c>
      <c r="C201" t="s">
        <v>690</v>
      </c>
      <c r="D201" t="s">
        <v>133</v>
      </c>
      <c r="E201" s="974" t="s">
        <v>847</v>
      </c>
      <c r="F201" s="987" t="s">
        <v>848</v>
      </c>
      <c r="G201" s="974"/>
      <c r="H201" s="974" t="s">
        <v>849</v>
      </c>
      <c r="I201" s="974" t="s">
        <v>691</v>
      </c>
      <c r="J201" s="974" t="s">
        <v>133</v>
      </c>
      <c r="K201" s="974" t="s">
        <v>847</v>
      </c>
      <c r="L201" s="439" t="s">
        <v>850</v>
      </c>
      <c r="M201" t="s">
        <v>851</v>
      </c>
      <c r="N201"/>
    </row>
    <row r="202" spans="1:14" hidden="1" x14ac:dyDescent="0.25">
      <c r="A202" t="s">
        <v>689</v>
      </c>
      <c r="B202" t="s">
        <v>155</v>
      </c>
      <c r="C202" t="s">
        <v>1700</v>
      </c>
      <c r="D202" t="s">
        <v>156</v>
      </c>
      <c r="E202" s="974" t="s">
        <v>1906</v>
      </c>
      <c r="F202" s="988" t="s">
        <v>852</v>
      </c>
      <c r="G202" s="974"/>
      <c r="H202" s="974" t="s">
        <v>853</v>
      </c>
      <c r="I202" s="974" t="s">
        <v>854</v>
      </c>
      <c r="J202" s="974" t="s">
        <v>156</v>
      </c>
      <c r="K202" s="974" t="s">
        <v>855</v>
      </c>
      <c r="L202" s="439" t="s">
        <v>856</v>
      </c>
      <c r="M202" t="s">
        <v>857</v>
      </c>
      <c r="N202"/>
    </row>
    <row r="203" spans="1:14" hidden="1" x14ac:dyDescent="0.25">
      <c r="A203" t="s">
        <v>1700</v>
      </c>
      <c r="B203" t="s">
        <v>1700</v>
      </c>
      <c r="C203"/>
      <c r="D203"/>
      <c r="E203" s="974"/>
      <c r="F203" s="988" t="s">
        <v>858</v>
      </c>
      <c r="G203" s="974"/>
      <c r="H203" s="974"/>
      <c r="I203" s="974"/>
      <c r="J203" s="974"/>
      <c r="K203" s="974"/>
      <c r="L203" s="439" t="s">
        <v>859</v>
      </c>
      <c r="M203" t="s">
        <v>860</v>
      </c>
      <c r="N203"/>
    </row>
    <row r="204" spans="1:14" hidden="1" x14ac:dyDescent="0.25">
      <c r="A204"/>
      <c r="B204"/>
      <c r="C204"/>
      <c r="D204"/>
      <c r="E204" s="974"/>
      <c r="F204" s="988" t="s">
        <v>675</v>
      </c>
      <c r="G204" s="974"/>
      <c r="H204" s="974"/>
      <c r="I204" s="974"/>
      <c r="J204" s="974"/>
      <c r="K204" s="974"/>
      <c r="L204"/>
      <c r="M204" t="s">
        <v>500</v>
      </c>
      <c r="N204"/>
    </row>
    <row r="205" spans="1:14" hidden="1" x14ac:dyDescent="0.25">
      <c r="A205"/>
      <c r="B205"/>
      <c r="C205"/>
      <c r="D205"/>
      <c r="E205" s="974"/>
      <c r="F205" s="974"/>
      <c r="G205" s="974"/>
      <c r="H205" s="974"/>
      <c r="I205" s="974"/>
      <c r="J205" s="974"/>
      <c r="K205" s="974"/>
      <c r="L205"/>
      <c r="M205" t="s">
        <v>861</v>
      </c>
      <c r="N205"/>
    </row>
    <row r="206" spans="1:14" ht="30" hidden="1" x14ac:dyDescent="0.25">
      <c r="A206"/>
      <c r="B206"/>
      <c r="C206"/>
      <c r="D206"/>
      <c r="E206" s="974"/>
      <c r="F206" s="987" t="s">
        <v>862</v>
      </c>
      <c r="G206" s="974"/>
      <c r="H206" s="974"/>
      <c r="I206" s="974"/>
      <c r="J206" s="974"/>
      <c r="K206" s="974"/>
      <c r="L206"/>
      <c r="M206" t="s">
        <v>863</v>
      </c>
      <c r="N206"/>
    </row>
    <row r="207" spans="1:14" hidden="1" x14ac:dyDescent="0.25">
      <c r="A207"/>
      <c r="B207"/>
      <c r="C207"/>
      <c r="D207"/>
      <c r="E207" s="974"/>
      <c r="F207" s="974"/>
      <c r="G207" s="974"/>
      <c r="H207" s="974"/>
      <c r="I207" s="974"/>
      <c r="J207" s="974"/>
      <c r="K207" s="974"/>
      <c r="L207"/>
      <c r="M207"/>
      <c r="N207"/>
    </row>
    <row r="208" spans="1:14"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sheetData>
  <sheetProtection algorithmName="SHA-512" hashValue="vS1IAd5A72cc4zUO59D3NkKs2x49Sa9xyhWPyK1k1CyYQDNerd19HNMB4Z6s+uILCMdTymj48y1Y0LxMdx0CMA==" saltValue="ZdjGaeR5kpjLkZg7XPOO8w==" spinCount="100000" sheet="1" pivotTables="0"/>
  <mergeCells count="144">
    <mergeCell ref="H2:H3"/>
    <mergeCell ref="A2:A3"/>
    <mergeCell ref="B2:G3"/>
    <mergeCell ref="B133:C133"/>
    <mergeCell ref="B134:C134"/>
    <mergeCell ref="B135:C135"/>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2:C92"/>
    <mergeCell ref="E92:F92"/>
    <mergeCell ref="B93:C93"/>
    <mergeCell ref="E93:F93"/>
    <mergeCell ref="B95:C95"/>
    <mergeCell ref="B96:C96"/>
    <mergeCell ref="B89:C89"/>
    <mergeCell ref="E89:F89"/>
    <mergeCell ref="B90:C90"/>
    <mergeCell ref="E90:F90"/>
    <mergeCell ref="B91:C91"/>
    <mergeCell ref="E91:F91"/>
    <mergeCell ref="B86:C86"/>
    <mergeCell ref="E86:F86"/>
    <mergeCell ref="B87:C87"/>
    <mergeCell ref="E87:F87"/>
    <mergeCell ref="B88:C88"/>
    <mergeCell ref="E88:F88"/>
    <mergeCell ref="A81:B81"/>
    <mergeCell ref="C81:D81"/>
    <mergeCell ref="A83:F83"/>
    <mergeCell ref="A84:F84"/>
    <mergeCell ref="B85:C85"/>
    <mergeCell ref="E85:F85"/>
    <mergeCell ref="A78:B78"/>
    <mergeCell ref="C78:D78"/>
    <mergeCell ref="A79:B79"/>
    <mergeCell ref="C79:D79"/>
    <mergeCell ref="A80:B80"/>
    <mergeCell ref="C80:D80"/>
    <mergeCell ref="A75:B75"/>
    <mergeCell ref="C75:D75"/>
    <mergeCell ref="A76:B76"/>
    <mergeCell ref="C76:D76"/>
    <mergeCell ref="A77:B77"/>
    <mergeCell ref="C77:D77"/>
    <mergeCell ref="A71:B71"/>
    <mergeCell ref="C71:D71"/>
    <mergeCell ref="A72:B72"/>
    <mergeCell ref="C72:D72"/>
    <mergeCell ref="A73:F73"/>
    <mergeCell ref="A74:B74"/>
    <mergeCell ref="C74:D74"/>
    <mergeCell ref="A59:F59"/>
    <mergeCell ref="A67:F67"/>
    <mergeCell ref="A68:F68"/>
    <mergeCell ref="A69:F69"/>
    <mergeCell ref="A70:B70"/>
    <mergeCell ref="C70:D70"/>
    <mergeCell ref="A52:F52"/>
    <mergeCell ref="A53:F56"/>
    <mergeCell ref="A58:F58"/>
    <mergeCell ref="A47:B47"/>
    <mergeCell ref="A48:B48"/>
    <mergeCell ref="A49:B49"/>
    <mergeCell ref="K37:L37"/>
    <mergeCell ref="A38:B38"/>
    <mergeCell ref="E38:F38"/>
    <mergeCell ref="G38:J38"/>
    <mergeCell ref="K38:L38"/>
    <mergeCell ref="A39:B40"/>
    <mergeCell ref="C39:C40"/>
    <mergeCell ref="D39:D40"/>
    <mergeCell ref="A44:B44"/>
    <mergeCell ref="A45:B45"/>
    <mergeCell ref="A46:B46"/>
    <mergeCell ref="A43:B43"/>
    <mergeCell ref="A42:D42"/>
    <mergeCell ref="A34:B35"/>
    <mergeCell ref="C34:C35"/>
    <mergeCell ref="D34:D35"/>
    <mergeCell ref="A37:D37"/>
    <mergeCell ref="E37:F37"/>
    <mergeCell ref="G37:J37"/>
    <mergeCell ref="G32:J32"/>
    <mergeCell ref="K32:L32"/>
    <mergeCell ref="A33:B33"/>
    <mergeCell ref="E33:F33"/>
    <mergeCell ref="G33:J33"/>
    <mergeCell ref="K33:L33"/>
    <mergeCell ref="A27:B27"/>
    <mergeCell ref="A28:B28"/>
    <mergeCell ref="A29:B29"/>
    <mergeCell ref="A31:D31"/>
    <mergeCell ref="A32:D32"/>
    <mergeCell ref="E32:F32"/>
    <mergeCell ref="A18:F18"/>
    <mergeCell ref="A20:B20"/>
    <mergeCell ref="A21:B21"/>
    <mergeCell ref="A22:B22"/>
    <mergeCell ref="A24:B24"/>
    <mergeCell ref="A25:B25"/>
    <mergeCell ref="A19:F19"/>
    <mergeCell ref="A14:F14"/>
    <mergeCell ref="A15:F15"/>
    <mergeCell ref="A6:A7"/>
    <mergeCell ref="B9:C9"/>
    <mergeCell ref="B10:C10"/>
    <mergeCell ref="B11:C11"/>
    <mergeCell ref="B6:F6"/>
    <mergeCell ref="B7:F7"/>
    <mergeCell ref="B8:F8"/>
  </mergeCells>
  <conditionalFormatting sqref="A21">
    <cfRule type="containsText" dxfId="198" priority="48" operator="containsText" text="Negativa o abstención">
      <formula>NOT(ISERROR(SEARCH("Negativa o abstención",A21)))</formula>
    </cfRule>
    <cfRule type="containsText" dxfId="197" priority="49" operator="containsText" text="Negativa o abstención">
      <formula>NOT(ISERROR(SEARCH("Negativa o abstención",A21)))</formula>
    </cfRule>
    <cfRule type="containsText" dxfId="196" priority="50" operator="containsText" text="Sin salvedades">
      <formula>NOT(ISERROR(SEARCH("Sin salvedades",A21)))</formula>
    </cfRule>
    <cfRule type="containsText" dxfId="195" priority="51" operator="containsText" text="Sin salvedades">
      <formula>NOT(ISERROR(SEARCH("Sin salvedades",A21)))</formula>
    </cfRule>
    <cfRule type="containsText" dxfId="194" priority="52" operator="containsText" text="Con salvedades">
      <formula>NOT(ISERROR(SEARCH("Con salvedades",A21)))</formula>
    </cfRule>
    <cfRule type="containsText" dxfId="193" priority="53" operator="containsText" text="Con salvedades">
      <formula>NOT(ISERROR(SEARCH("Con salvedades",A21)))</formula>
    </cfRule>
    <cfRule type="containsText" dxfId="192" priority="54" operator="containsText" text="Negativa o abstención">
      <formula>NOT(ISERROR(SEARCH("Negativa o abstención",A21)))</formula>
    </cfRule>
    <cfRule type="containsText" dxfId="191" priority="55" operator="containsText" text="Con salvedades">
      <formula>NOT(ISERROR(SEARCH("Con salvedades",A21)))</formula>
    </cfRule>
    <cfRule type="containsText" dxfId="190" priority="56" operator="containsText" text="Con salvedades">
      <formula>NOT(ISERROR(SEARCH("Con salvedades",A21)))</formula>
    </cfRule>
    <cfRule type="containsText" dxfId="189" priority="57" operator="containsText" text="Sin salvedades">
      <formula>NOT(ISERROR(SEARCH("Sin salvedades",A21)))</formula>
    </cfRule>
  </conditionalFormatting>
  <conditionalFormatting sqref="A22">
    <cfRule type="containsText" dxfId="188" priority="58" operator="containsText" text="2">
      <formula>NOT(ISERROR(SEARCH("2",A22)))</formula>
    </cfRule>
    <cfRule type="containsText" dxfId="187" priority="59" operator="containsText" text="1">
      <formula>NOT(ISERROR(SEARCH("1",A22)))</formula>
    </cfRule>
    <cfRule type="containsText" dxfId="186" priority="60" operator="containsText" text="1">
      <formula>NOT(ISERROR(SEARCH("1",A22)))</formula>
    </cfRule>
    <cfRule type="containsText" dxfId="185" priority="61" operator="containsText" text="0">
      <formula>NOT(ISERROR(SEARCH("0",A22)))</formula>
    </cfRule>
    <cfRule type="containsText" dxfId="184" priority="62" operator="containsText" text="3">
      <formula>NOT(ISERROR(SEARCH("3",A22)))</formula>
    </cfRule>
    <cfRule type="containsText" dxfId="183" priority="63" operator="containsText" text="3">
      <formula>NOT(ISERROR(SEARCH("3",A22)))</formula>
    </cfRule>
    <cfRule type="containsText" dxfId="182" priority="64" operator="containsText" text="1">
      <formula>NOT(ISERROR(SEARCH("1",A22)))</formula>
    </cfRule>
    <cfRule type="containsText" dxfId="181" priority="65" operator="containsText" text="0">
      <formula>NOT(ISERROR(SEARCH("0",A22)))</formula>
    </cfRule>
    <cfRule type="containsText" dxfId="180" priority="66" operator="containsText" text="Eficiente">
      <formula>NOT(ISERROR(SEARCH("Eficiente",A22)))</formula>
    </cfRule>
  </conditionalFormatting>
  <conditionalFormatting sqref="C21">
    <cfRule type="containsText" dxfId="179" priority="44" operator="containsText" text="Ineficiente">
      <formula>NOT(ISERROR(SEARCH("Ineficiente",C21)))</formula>
    </cfRule>
    <cfRule type="containsText" dxfId="178" priority="45" operator="containsText" text="Ineficiente">
      <formula>NOT(ISERROR(SEARCH("Ineficiente",C21)))</formula>
    </cfRule>
    <cfRule type="containsText" dxfId="177" priority="46" operator="containsText" text="Con deficiencias">
      <formula>NOT(ISERROR(SEARCH("Con deficiencias",C21)))</formula>
    </cfRule>
    <cfRule type="containsText" dxfId="176" priority="47" operator="containsText" text="Eficiente">
      <formula>NOT(ISERROR(SEARCH("Eficiente",C21)))</formula>
    </cfRule>
  </conditionalFormatting>
  <conditionalFormatting sqref="C22:F22">
    <cfRule type="containsText" dxfId="175" priority="3" operator="containsText" text="2">
      <formula>NOT(ISERROR(SEARCH("2",C22)))</formula>
    </cfRule>
    <cfRule type="containsText" dxfId="174" priority="4" operator="containsText" text="1">
      <formula>NOT(ISERROR(SEARCH("1",C22)))</formula>
    </cfRule>
    <cfRule type="containsText" dxfId="173" priority="5" operator="containsText" text="1">
      <formula>NOT(ISERROR(SEARCH("1",C22)))</formula>
    </cfRule>
    <cfRule type="containsText" dxfId="172" priority="6" operator="containsText" text="0">
      <formula>NOT(ISERROR(SEARCH("0",C22)))</formula>
    </cfRule>
    <cfRule type="containsText" dxfId="171" priority="7" operator="containsText" text="3">
      <formula>NOT(ISERROR(SEARCH("3",C22)))</formula>
    </cfRule>
    <cfRule type="containsText" dxfId="170" priority="8" operator="containsText" text="3">
      <formula>NOT(ISERROR(SEARCH("3",C22)))</formula>
    </cfRule>
    <cfRule type="containsText" dxfId="169" priority="9" operator="containsText" text="1">
      <formula>NOT(ISERROR(SEARCH("1",C22)))</formula>
    </cfRule>
    <cfRule type="containsText" dxfId="168" priority="10" operator="containsText" text="0">
      <formula>NOT(ISERROR(SEARCH("0",C22)))</formula>
    </cfRule>
    <cfRule type="containsText" dxfId="167" priority="11" operator="containsText" text="Eficiente">
      <formula>NOT(ISERROR(SEARCH("Eficiente",C22)))</formula>
    </cfRule>
  </conditionalFormatting>
  <conditionalFormatting sqref="D21">
    <cfRule type="containsText" dxfId="166" priority="31" operator="containsText" text="No fenecida">
      <formula>NOT(ISERROR(SEARCH("No fenecida",D21)))</formula>
    </cfRule>
    <cfRule type="containsText" dxfId="165" priority="32" operator="containsText" text="No fenecida">
      <formula>NOT(ISERROR(SEARCH("No fenecida",D21)))</formula>
    </cfRule>
    <cfRule type="containsText" dxfId="164" priority="33" operator="containsText" text="Fenecida">
      <formula>NOT(ISERROR(SEARCH("Fenecida",D21)))</formula>
    </cfRule>
    <cfRule type="containsText" dxfId="163" priority="34" operator="containsText" text="Negativa o abstención">
      <formula>NOT(ISERROR(SEARCH("Negativa o abstención",D21)))</formula>
    </cfRule>
    <cfRule type="containsText" dxfId="162" priority="35" operator="containsText" text="Negativa o abstención">
      <formula>NOT(ISERROR(SEARCH("Negativa o abstención",D21)))</formula>
    </cfRule>
    <cfRule type="containsText" dxfId="161" priority="36" operator="containsText" text="Sin salvedades">
      <formula>NOT(ISERROR(SEARCH("Sin salvedades",D21)))</formula>
    </cfRule>
    <cfRule type="containsText" dxfId="160" priority="37" operator="containsText" text="Sin salvedades">
      <formula>NOT(ISERROR(SEARCH("Sin salvedades",D21)))</formula>
    </cfRule>
    <cfRule type="containsText" dxfId="159" priority="38" operator="containsText" text="Con salvedades">
      <formula>NOT(ISERROR(SEARCH("Con salvedades",D21)))</formula>
    </cfRule>
    <cfRule type="containsText" dxfId="158" priority="39" operator="containsText" text="Con salvedades">
      <formula>NOT(ISERROR(SEARCH("Con salvedades",D21)))</formula>
    </cfRule>
    <cfRule type="containsText" dxfId="157" priority="40" operator="containsText" text="Negativa o abstención">
      <formula>NOT(ISERROR(SEARCH("Negativa o abstención",D21)))</formula>
    </cfRule>
    <cfRule type="containsText" dxfId="156" priority="41" operator="containsText" text="Con salvedades">
      <formula>NOT(ISERROR(SEARCH("Con salvedades",D21)))</formula>
    </cfRule>
    <cfRule type="containsText" dxfId="155" priority="42" operator="containsText" text="Con salvedades">
      <formula>NOT(ISERROR(SEARCH("Con salvedades",D21)))</formula>
    </cfRule>
    <cfRule type="containsText" dxfId="154" priority="43" operator="containsText" text="Sin salvedades">
      <formula>NOT(ISERROR(SEARCH("Sin salvedades",D21)))</formula>
    </cfRule>
  </conditionalFormatting>
  <conditionalFormatting sqref="E11">
    <cfRule type="colorScale" priority="30">
      <colorScale>
        <cfvo type="min"/>
        <cfvo type="max"/>
        <color rgb="FF63BE7B"/>
        <color rgb="FFFCFCFF"/>
      </colorScale>
    </cfRule>
  </conditionalFormatting>
  <conditionalFormatting sqref="E21">
    <cfRule type="containsText" dxfId="153" priority="12" operator="containsText" text="Ineficiente">
      <formula>NOT(ISERROR(SEARCH("Ineficiente",E21)))</formula>
    </cfRule>
    <cfRule type="containsText" dxfId="152" priority="13" operator="containsText" text="Medio">
      <formula>NOT(ISERROR(SEARCH("Medio",E21)))</formula>
    </cfRule>
    <cfRule type="containsText" dxfId="151" priority="14" operator="containsText" text="Eficiente">
      <formula>NOT(ISERROR(SEARCH("Eficiente",E21)))</formula>
    </cfRule>
  </conditionalFormatting>
  <conditionalFormatting sqref="F21">
    <cfRule type="containsText" dxfId="150" priority="24" operator="containsText" text="Alto">
      <formula>NOT(ISERROR(SEARCH("Alto",F21)))</formula>
    </cfRule>
    <cfRule type="containsText" dxfId="149" priority="25" operator="containsText" text="Medio">
      <formula>NOT(ISERROR(SEARCH("Medio",F21)))</formula>
    </cfRule>
    <cfRule type="containsText" dxfId="148" priority="26" operator="containsText" text="Bajo">
      <formula>NOT(ISERROR(SEARCH("Bajo",F21)))</formula>
    </cfRule>
  </conditionalFormatting>
  <conditionalFormatting sqref="P10">
    <cfRule type="colorScale" priority="29">
      <colorScale>
        <cfvo type="min"/>
        <cfvo type="max"/>
        <color rgb="FF63BE7B"/>
        <color rgb="FFFCFCFF"/>
      </colorScale>
    </cfRule>
  </conditionalFormatting>
  <conditionalFormatting sqref="AT11:AU11">
    <cfRule type="cellIs" dxfId="147" priority="27" operator="lessThanOrEqual">
      <formula>1</formula>
    </cfRule>
    <cfRule type="cellIs" dxfId="146" priority="28" operator="greaterThanOrEqual">
      <formula>1</formula>
    </cfRule>
  </conditionalFormatting>
  <conditionalFormatting sqref="A2:B2">
    <cfRule type="cellIs" dxfId="145" priority="1" operator="equal">
      <formula>"ERROR"</formula>
    </cfRule>
  </conditionalFormatting>
  <dataValidations count="9">
    <dataValidation type="list" allowBlank="1" showInputMessage="1" showErrorMessage="1" sqref="F21">
      <formula1>$D$200:$D$202</formula1>
    </dataValidation>
    <dataValidation type="list" allowBlank="1" showInputMessage="1" showErrorMessage="1" sqref="E21">
      <formula1>$E$200:$E$202</formula1>
    </dataValidation>
    <dataValidation type="list" allowBlank="1" showInputMessage="1" showErrorMessage="1" sqref="D21">
      <formula1>$C$200:$C$202</formula1>
    </dataValidation>
    <dataValidation type="list" allowBlank="1" showInputMessage="1" showErrorMessage="1" sqref="C21">
      <formula1>$B$200:$B$203</formula1>
    </dataValidation>
    <dataValidation type="list" allowBlank="1" showInputMessage="1" showErrorMessage="1" sqref="A21:B21">
      <formula1>$A$200:$A$203</formula1>
    </dataValidation>
    <dataValidation type="list" allowBlank="1" showInputMessage="1" showErrorMessage="1" sqref="A71:A72 A75:A81">
      <formula1>"60%,61%,62%,63%,64%,65%,66%,67%,68%,69%,70%,71%,72%,73%,74%,75%,76%,77%,78%,79%,80%"</formula1>
    </dataValidation>
    <dataValidation type="list" allowBlank="1" showInputMessage="1" showErrorMessage="1" sqref="B61:B65">
      <formula1>"2%,3%,4%,5%"</formula1>
    </dataValidation>
    <dataValidation type="list" allowBlank="1" showInputMessage="1" showErrorMessage="1" sqref="A86:A93">
      <formula1>"2%,3%,4%,5%,6%,7%,8%"</formula1>
    </dataValidation>
    <dataValidation type="decimal" operator="greaterThan" allowBlank="1" showInputMessage="1" showErrorMessage="1" sqref="A34">
      <formula1>0</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'[4]DATOS ANÁLISIS'!#REF!</xm:f>
          </x14:formula1>
          <xm:sqref>C61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1"/>
  <sheetViews>
    <sheetView zoomScaleNormal="100" workbookViewId="0">
      <selection activeCell="A2" sqref="A2:B3"/>
    </sheetView>
  </sheetViews>
  <sheetFormatPr baseColWidth="10" defaultColWidth="11.42578125" defaultRowHeight="14.25" x14ac:dyDescent="0.25"/>
  <cols>
    <col min="1" max="1" width="6.7109375" style="294" customWidth="1"/>
    <col min="2" max="2" width="45.140625" style="294" customWidth="1"/>
    <col min="3" max="3" width="35" style="294" customWidth="1"/>
    <col min="4" max="4" width="38" style="294" customWidth="1"/>
    <col min="5" max="5" width="37.42578125" style="294" customWidth="1"/>
    <col min="6" max="6" width="29.140625" style="294" customWidth="1"/>
    <col min="7" max="7" width="40.28515625" style="294" customWidth="1"/>
    <col min="8" max="9" width="34.42578125" style="294" customWidth="1"/>
    <col min="10" max="10" width="31.7109375" style="294" customWidth="1"/>
    <col min="11" max="11" width="35.140625" style="294" customWidth="1"/>
    <col min="12" max="12" width="36.140625" style="294" customWidth="1"/>
    <col min="13" max="13" width="31.42578125" style="294" customWidth="1"/>
    <col min="14" max="14" width="30.5703125" style="294" customWidth="1"/>
    <col min="15" max="15" width="29.7109375" style="294" customWidth="1"/>
    <col min="16" max="16" width="11.42578125" style="294"/>
    <col min="17" max="17" width="16.42578125" style="294" customWidth="1"/>
    <col min="18" max="18" width="19.7109375" style="294" customWidth="1"/>
    <col min="19" max="16384" width="11.42578125" style="294"/>
  </cols>
  <sheetData>
    <row r="1" spans="1:17" x14ac:dyDescent="0.25">
      <c r="A1" s="2398"/>
      <c r="B1" s="2398"/>
      <c r="C1" s="2398"/>
      <c r="D1" s="2398"/>
      <c r="E1" s="2398"/>
      <c r="F1" s="2398"/>
      <c r="G1" s="2398"/>
      <c r="H1" s="2398"/>
      <c r="I1" s="2398"/>
    </row>
    <row r="2" spans="1:17" ht="59.25" customHeight="1" x14ac:dyDescent="0.25">
      <c r="A2" s="2105"/>
      <c r="B2" s="2105"/>
      <c r="C2" s="2400" t="s">
        <v>1688</v>
      </c>
      <c r="D2" s="2401"/>
      <c r="E2" s="2401"/>
      <c r="F2" s="2401"/>
      <c r="G2" s="2401"/>
      <c r="H2" s="2401"/>
      <c r="I2" s="2401"/>
      <c r="J2" s="2402"/>
      <c r="K2" s="2388" t="s">
        <v>1937</v>
      </c>
    </row>
    <row r="3" spans="1:17" ht="44.25" customHeight="1" x14ac:dyDescent="0.25">
      <c r="A3" s="2105"/>
      <c r="B3" s="2105"/>
      <c r="C3" s="2403"/>
      <c r="D3" s="2404"/>
      <c r="E3" s="2404"/>
      <c r="F3" s="2404"/>
      <c r="G3" s="2404"/>
      <c r="H3" s="2404"/>
      <c r="I3" s="2404"/>
      <c r="J3" s="2405"/>
      <c r="K3" s="2388"/>
    </row>
    <row r="4" spans="1:17" ht="15" customHeight="1" x14ac:dyDescent="0.25">
      <c r="A4" s="2399"/>
      <c r="B4" s="2399"/>
      <c r="C4" s="2399"/>
      <c r="D4" s="2399"/>
      <c r="E4" s="2399"/>
      <c r="F4" s="2399"/>
      <c r="G4" s="2399"/>
      <c r="H4" s="2399"/>
    </row>
    <row r="5" spans="1:17" ht="24.75" customHeight="1" x14ac:dyDescent="0.25">
      <c r="A5" s="2397" t="s">
        <v>1641</v>
      </c>
      <c r="B5" s="2397"/>
      <c r="C5" s="2397"/>
      <c r="D5" s="2397"/>
      <c r="E5" s="2397"/>
      <c r="F5" s="2397"/>
      <c r="G5" s="2397"/>
      <c r="H5" s="2397"/>
    </row>
    <row r="6" spans="1:17" ht="22.5" customHeight="1" x14ac:dyDescent="0.25">
      <c r="A6" s="2397" t="s">
        <v>1618</v>
      </c>
      <c r="B6" s="2397"/>
      <c r="C6" s="2397"/>
      <c r="D6" s="2397"/>
      <c r="E6" s="2397"/>
      <c r="F6" s="2397"/>
      <c r="G6" s="2397"/>
      <c r="H6" s="2397"/>
      <c r="I6" s="706"/>
      <c r="J6" s="706"/>
      <c r="K6" s="706"/>
      <c r="L6" s="706"/>
      <c r="M6" s="706"/>
      <c r="N6" s="706"/>
      <c r="O6" s="706"/>
      <c r="P6" s="706"/>
      <c r="Q6" s="706"/>
    </row>
    <row r="7" spans="1:17" ht="18" customHeight="1" x14ac:dyDescent="0.25">
      <c r="A7" s="2406"/>
      <c r="B7" s="2406"/>
      <c r="C7" s="2406"/>
      <c r="D7" s="2406"/>
      <c r="E7" s="2406"/>
      <c r="F7" s="2406"/>
      <c r="G7" s="2406"/>
      <c r="H7" s="2406"/>
    </row>
    <row r="8" spans="1:17" ht="25.5" customHeight="1" x14ac:dyDescent="0.25">
      <c r="A8" s="2407" t="s">
        <v>0</v>
      </c>
      <c r="B8" s="2407"/>
      <c r="C8" s="1756" t="str">
        <f>+FENECIMIENTO!D4</f>
        <v xml:space="preserve">150000 - DIRECCIÓN SECTOR HACIENDA </v>
      </c>
      <c r="D8" s="1756"/>
      <c r="E8" s="707"/>
      <c r="F8" s="9" t="s">
        <v>763</v>
      </c>
      <c r="G8" s="2409"/>
      <c r="H8" s="2409"/>
    </row>
    <row r="9" spans="1:17" ht="50.45" customHeight="1" x14ac:dyDescent="0.25">
      <c r="A9" s="2408" t="s">
        <v>1188</v>
      </c>
      <c r="B9" s="2408"/>
      <c r="C9" s="2274" t="str">
        <f>+FENECIMIENTO!D5</f>
        <v xml:space="preserve">206 - Fondo de Prestaciones Económicas, Cesantías y Pensiones – FONCEP </v>
      </c>
      <c r="D9" s="2275"/>
      <c r="E9" s="707"/>
      <c r="F9" s="608" t="s">
        <v>2</v>
      </c>
      <c r="G9" s="1756">
        <f>+FENECIMIENTO!K5</f>
        <v>2024</v>
      </c>
      <c r="H9" s="1756"/>
    </row>
    <row r="10" spans="1:17" ht="27" customHeight="1" x14ac:dyDescent="0.25">
      <c r="A10" s="2407" t="s">
        <v>1683</v>
      </c>
      <c r="B10" s="2407"/>
      <c r="C10" s="2100">
        <f>+FENECIMIENTO!D6</f>
        <v>2025</v>
      </c>
      <c r="D10" s="2100"/>
      <c r="E10" s="303"/>
      <c r="F10" s="608" t="s">
        <v>3</v>
      </c>
      <c r="G10" s="2100">
        <f>+FENECIMIENTO!K6</f>
        <v>87</v>
      </c>
      <c r="H10" s="2100"/>
    </row>
    <row r="11" spans="1:17" ht="29.25" customHeight="1" x14ac:dyDescent="0.25">
      <c r="A11" s="2407" t="s">
        <v>4</v>
      </c>
      <c r="B11" s="2407"/>
      <c r="C11" s="2101">
        <f>+FENECIMIENTO!D7</f>
        <v>45693</v>
      </c>
      <c r="D11" s="2100"/>
      <c r="E11" s="708"/>
      <c r="F11" s="608" t="s">
        <v>1189</v>
      </c>
      <c r="G11" s="2101">
        <f>+FENECIMIENTO!K7</f>
        <v>45693</v>
      </c>
      <c r="H11" s="2100"/>
    </row>
    <row r="12" spans="1:17" ht="13.5" customHeight="1" x14ac:dyDescent="0.25">
      <c r="A12" s="710"/>
      <c r="B12" s="707"/>
      <c r="F12" s="711"/>
      <c r="G12" s="712"/>
      <c r="H12" s="712"/>
    </row>
    <row r="13" spans="1:17" ht="12" customHeight="1" x14ac:dyDescent="0.25">
      <c r="A13" s="713"/>
      <c r="B13" s="714"/>
      <c r="C13" s="715"/>
      <c r="D13" s="715"/>
      <c r="E13" s="715"/>
      <c r="F13" s="713"/>
      <c r="G13" s="713"/>
      <c r="H13" s="716"/>
    </row>
    <row r="14" spans="1:17" ht="8.25" customHeight="1" x14ac:dyDescent="0.25">
      <c r="B14" s="717"/>
      <c r="C14" s="717"/>
      <c r="D14" s="717"/>
      <c r="E14" s="717"/>
      <c r="F14" s="717"/>
      <c r="G14" s="717"/>
      <c r="H14" s="717"/>
    </row>
    <row r="15" spans="1:17" ht="18" customHeight="1" x14ac:dyDescent="0.25">
      <c r="A15" s="717" t="s">
        <v>1190</v>
      </c>
      <c r="B15" s="717"/>
      <c r="C15" s="717"/>
      <c r="D15" s="717"/>
      <c r="E15" s="717"/>
      <c r="F15" s="717"/>
      <c r="G15" s="717"/>
      <c r="H15" s="717"/>
    </row>
    <row r="16" spans="1:17" ht="18" customHeight="1" x14ac:dyDescent="0.25">
      <c r="A16" s="710"/>
      <c r="B16" s="710"/>
      <c r="C16" s="718"/>
      <c r="D16" s="718"/>
      <c r="E16" s="718"/>
      <c r="F16" s="718"/>
      <c r="G16" s="709"/>
      <c r="H16" s="606"/>
    </row>
    <row r="17" spans="1:12" ht="29.25" customHeight="1" x14ac:dyDescent="0.25">
      <c r="A17" s="2414" t="s">
        <v>1635</v>
      </c>
      <c r="B17" s="2414"/>
      <c r="C17" s="2414"/>
      <c r="D17" s="2414"/>
      <c r="E17" s="2414"/>
      <c r="F17" s="2414"/>
      <c r="G17" s="2414"/>
      <c r="H17" s="2414"/>
      <c r="I17" s="2414"/>
      <c r="J17" s="2414"/>
      <c r="K17" s="2414"/>
    </row>
    <row r="18" spans="1:12" ht="18" customHeight="1" thickBot="1" x14ac:dyDescent="0.3">
      <c r="A18" s="719"/>
      <c r="B18" s="719"/>
      <c r="C18" s="719"/>
      <c r="D18" s="719"/>
      <c r="E18" s="719"/>
      <c r="F18" s="719"/>
      <c r="G18" s="719"/>
      <c r="H18" s="719"/>
      <c r="I18" s="719"/>
      <c r="J18" s="605"/>
      <c r="K18" s="605"/>
      <c r="L18" s="605"/>
    </row>
    <row r="19" spans="1:12" ht="18" customHeight="1" x14ac:dyDescent="0.25">
      <c r="A19" s="2415"/>
      <c r="B19" s="2416" t="s">
        <v>1191</v>
      </c>
      <c r="C19" s="2417"/>
      <c r="D19" s="2417"/>
      <c r="E19" s="2417"/>
      <c r="F19" s="2418"/>
      <c r="G19" s="2419" t="s">
        <v>209</v>
      </c>
      <c r="H19" s="2421" t="s">
        <v>1031</v>
      </c>
      <c r="I19" s="2421" t="s">
        <v>1032</v>
      </c>
      <c r="J19" s="2410" t="s">
        <v>1033</v>
      </c>
      <c r="K19" s="2412" t="s">
        <v>178</v>
      </c>
      <c r="L19" s="605"/>
    </row>
    <row r="20" spans="1:12" ht="57.75" customHeight="1" thickBot="1" x14ac:dyDescent="0.3">
      <c r="A20" s="2415"/>
      <c r="B20" s="1385" t="s">
        <v>465</v>
      </c>
      <c r="C20" s="1386" t="s">
        <v>1034</v>
      </c>
      <c r="D20" s="1386" t="s">
        <v>1035</v>
      </c>
      <c r="E20" s="1386" t="s">
        <v>1036</v>
      </c>
      <c r="F20" s="1387" t="s">
        <v>1037</v>
      </c>
      <c r="G20" s="2420"/>
      <c r="H20" s="2422"/>
      <c r="I20" s="2422"/>
      <c r="J20" s="2411"/>
      <c r="K20" s="2413"/>
      <c r="L20" s="605"/>
    </row>
    <row r="21" spans="1:12" ht="79.5" customHeight="1" x14ac:dyDescent="0.25">
      <c r="A21" s="720" t="s">
        <v>494</v>
      </c>
      <c r="B21" s="1388" t="s">
        <v>1192</v>
      </c>
      <c r="C21" s="1410" t="s">
        <v>1193</v>
      </c>
      <c r="D21" s="1406">
        <f>45000/5410000%</f>
        <v>0.83179297597042512</v>
      </c>
      <c r="E21" s="1390" t="s">
        <v>1042</v>
      </c>
      <c r="F21" s="1389" t="s">
        <v>1194</v>
      </c>
      <c r="G21" s="1390" t="s">
        <v>193</v>
      </c>
      <c r="H21" s="2424" t="s">
        <v>1195</v>
      </c>
      <c r="I21" s="1389" t="s">
        <v>1196</v>
      </c>
      <c r="J21" s="2426" t="s">
        <v>1197</v>
      </c>
      <c r="K21" s="1391">
        <f>IF(D21="","",D21)</f>
        <v>0.83179297597042512</v>
      </c>
    </row>
    <row r="22" spans="1:12" ht="72" customHeight="1" x14ac:dyDescent="0.25">
      <c r="A22" s="720" t="s">
        <v>494</v>
      </c>
      <c r="B22" s="1392" t="s">
        <v>1198</v>
      </c>
      <c r="C22" s="1411" t="s">
        <v>1199</v>
      </c>
      <c r="D22" s="1406">
        <f>(83462378626/88180338979)</f>
        <v>0.94649645932838189</v>
      </c>
      <c r="E22" s="1394" t="s">
        <v>1042</v>
      </c>
      <c r="F22" s="1393" t="s">
        <v>1200</v>
      </c>
      <c r="G22" s="1394" t="s">
        <v>193</v>
      </c>
      <c r="H22" s="1975"/>
      <c r="I22" s="1393" t="s">
        <v>1201</v>
      </c>
      <c r="J22" s="2427"/>
      <c r="K22" s="1395">
        <f t="shared" ref="K22:K29" si="0">IF(D22="","",D22)</f>
        <v>0.94649645932838189</v>
      </c>
    </row>
    <row r="23" spans="1:12" ht="75.75" customHeight="1" x14ac:dyDescent="0.25">
      <c r="A23" s="720" t="s">
        <v>494</v>
      </c>
      <c r="B23" s="1392" t="s">
        <v>1202</v>
      </c>
      <c r="C23" s="1411" t="s">
        <v>1203</v>
      </c>
      <c r="D23" s="1406">
        <f>(23462378626/28180338979)</f>
        <v>0.8325797160738263</v>
      </c>
      <c r="E23" s="1394" t="s">
        <v>1042</v>
      </c>
      <c r="F23" s="1393" t="s">
        <v>1204</v>
      </c>
      <c r="G23" s="1394" t="s">
        <v>193</v>
      </c>
      <c r="H23" s="1975"/>
      <c r="I23" s="1393" t="s">
        <v>1205</v>
      </c>
      <c r="J23" s="2427"/>
      <c r="K23" s="1395">
        <f t="shared" si="0"/>
        <v>0.8325797160738263</v>
      </c>
    </row>
    <row r="24" spans="1:12" ht="101.25" customHeight="1" x14ac:dyDescent="0.25">
      <c r="A24" s="720"/>
      <c r="B24" s="1396" t="s">
        <v>1206</v>
      </c>
      <c r="C24" s="1412" t="s">
        <v>1207</v>
      </c>
      <c r="D24" s="1406">
        <f>(23462378626/28180338979)</f>
        <v>0.8325797160738263</v>
      </c>
      <c r="E24" s="1398" t="s">
        <v>1042</v>
      </c>
      <c r="F24" s="1397" t="s">
        <v>1208</v>
      </c>
      <c r="G24" s="1394" t="s">
        <v>193</v>
      </c>
      <c r="H24" s="1975"/>
      <c r="I24" s="1393" t="s">
        <v>1209</v>
      </c>
      <c r="J24" s="2427"/>
      <c r="K24" s="1395">
        <f t="shared" si="0"/>
        <v>0.8325797160738263</v>
      </c>
    </row>
    <row r="25" spans="1:12" ht="82.5" customHeight="1" x14ac:dyDescent="0.25">
      <c r="A25" s="720"/>
      <c r="B25" s="1396" t="s">
        <v>1210</v>
      </c>
      <c r="C25" s="1412" t="s">
        <v>1211</v>
      </c>
      <c r="D25" s="1407"/>
      <c r="E25" s="1398" t="s">
        <v>1042</v>
      </c>
      <c r="F25" s="1397" t="s">
        <v>1212</v>
      </c>
      <c r="G25" s="1394" t="s">
        <v>193</v>
      </c>
      <c r="H25" s="1975"/>
      <c r="I25" s="1393" t="s">
        <v>1213</v>
      </c>
      <c r="J25" s="2427"/>
      <c r="K25" s="1395" t="str">
        <f t="shared" si="0"/>
        <v/>
      </c>
    </row>
    <row r="26" spans="1:12" ht="81.75" customHeight="1" x14ac:dyDescent="0.25">
      <c r="A26" s="720"/>
      <c r="B26" s="1396" t="s">
        <v>1214</v>
      </c>
      <c r="C26" s="1412" t="s">
        <v>1215</v>
      </c>
      <c r="D26" s="1406"/>
      <c r="E26" s="1398" t="s">
        <v>1042</v>
      </c>
      <c r="F26" s="1397" t="s">
        <v>1216</v>
      </c>
      <c r="G26" s="1394" t="s">
        <v>193</v>
      </c>
      <c r="H26" s="1975"/>
      <c r="I26" s="1393" t="s">
        <v>1217</v>
      </c>
      <c r="J26" s="2427"/>
      <c r="K26" s="1395" t="str">
        <f t="shared" si="0"/>
        <v/>
      </c>
    </row>
    <row r="27" spans="1:12" ht="78" customHeight="1" x14ac:dyDescent="0.25">
      <c r="A27" s="720"/>
      <c r="B27" s="1392" t="s">
        <v>1218</v>
      </c>
      <c r="C27" s="1411" t="s">
        <v>1219</v>
      </c>
      <c r="D27" s="1406">
        <f>(19546282282/188180338979)</f>
        <v>0.10386994936905321</v>
      </c>
      <c r="E27" s="1394" t="s">
        <v>1042</v>
      </c>
      <c r="F27" s="1393" t="s">
        <v>1220</v>
      </c>
      <c r="G27" s="1394" t="s">
        <v>193</v>
      </c>
      <c r="H27" s="1975"/>
      <c r="I27" s="2429" t="s">
        <v>1221</v>
      </c>
      <c r="J27" s="2427"/>
      <c r="K27" s="1395">
        <f>IF(D27="","",IF(D27&gt;0,IF(OR((1-D27)&gt;0.8,(1-D27)&gt;0.5),1-D27-0.1,1-D27),1+D27))</f>
        <v>0.79613005063094677</v>
      </c>
    </row>
    <row r="28" spans="1:12" ht="84" customHeight="1" x14ac:dyDescent="0.25">
      <c r="A28" s="720"/>
      <c r="B28" s="1392" t="s">
        <v>1222</v>
      </c>
      <c r="C28" s="1411" t="s">
        <v>1223</v>
      </c>
      <c r="D28" s="1406">
        <f>(6546282262/128180338979)</f>
        <v>5.1070876502148185E-2</v>
      </c>
      <c r="E28" s="1394" t="s">
        <v>1042</v>
      </c>
      <c r="F28" s="1393" t="s">
        <v>1220</v>
      </c>
      <c r="G28" s="1394" t="s">
        <v>193</v>
      </c>
      <c r="H28" s="1975"/>
      <c r="I28" s="2430"/>
      <c r="J28" s="2427"/>
      <c r="K28" s="1395">
        <f>IF(D28="","",IF(D28&gt;0,IF(OR((1-D28)&gt;0.8,(1-D28)&gt;0.5),1-D28-0.1,1-D28),1+D28))</f>
        <v>0.84892912349785188</v>
      </c>
      <c r="L28" s="721"/>
    </row>
    <row r="29" spans="1:12" ht="76.5" x14ac:dyDescent="0.25">
      <c r="A29" s="720"/>
      <c r="B29" s="1392" t="s">
        <v>1224</v>
      </c>
      <c r="C29" s="1411" t="s">
        <v>1225</v>
      </c>
      <c r="D29" s="1406">
        <f>(23462378626/28180338979)</f>
        <v>0.8325797160738263</v>
      </c>
      <c r="E29" s="1394" t="s">
        <v>1042</v>
      </c>
      <c r="F29" s="1393" t="s">
        <v>1226</v>
      </c>
      <c r="G29" s="1394" t="s">
        <v>193</v>
      </c>
      <c r="H29" s="1975"/>
      <c r="I29" s="1393" t="s">
        <v>1227</v>
      </c>
      <c r="J29" s="2427"/>
      <c r="K29" s="1395">
        <f t="shared" si="0"/>
        <v>0.8325797160738263</v>
      </c>
    </row>
    <row r="30" spans="1:12" ht="103.5" customHeight="1" thickBot="1" x14ac:dyDescent="0.3">
      <c r="A30" s="720"/>
      <c r="B30" s="1399" t="s">
        <v>1228</v>
      </c>
      <c r="C30" s="1413" t="s">
        <v>1229</v>
      </c>
      <c r="D30" s="1408">
        <f>(29546223626/228180338979)</f>
        <v>0.12948628158852551</v>
      </c>
      <c r="E30" s="1401" t="s">
        <v>1042</v>
      </c>
      <c r="F30" s="1400" t="s">
        <v>1230</v>
      </c>
      <c r="G30" s="1401" t="s">
        <v>193</v>
      </c>
      <c r="H30" s="2425"/>
      <c r="I30" s="1400" t="s">
        <v>1231</v>
      </c>
      <c r="J30" s="2428"/>
      <c r="K30" s="1402">
        <f>IF(D30="","",IF(D30&gt;0,1-D30,1+D30))</f>
        <v>0.87051371841147451</v>
      </c>
    </row>
    <row r="31" spans="1:12" ht="103.5" customHeight="1" thickBot="1" x14ac:dyDescent="0.3">
      <c r="A31" s="722"/>
      <c r="B31" s="1388" t="s">
        <v>1232</v>
      </c>
      <c r="C31" s="1414" t="s">
        <v>1233</v>
      </c>
      <c r="D31" s="1409">
        <f>1521000/2235411</f>
        <v>0.68041179004666252</v>
      </c>
      <c r="E31" s="1390" t="s">
        <v>1042</v>
      </c>
      <c r="F31" s="1403" t="s">
        <v>1234</v>
      </c>
      <c r="G31" s="1390" t="s">
        <v>193</v>
      </c>
      <c r="H31" s="1404" t="s">
        <v>1235</v>
      </c>
      <c r="I31" s="1405" t="s">
        <v>1236</v>
      </c>
      <c r="J31" s="1405" t="s">
        <v>1237</v>
      </c>
      <c r="K31" s="1402">
        <f>IF(D31="","",D31)</f>
        <v>0.68041179004666252</v>
      </c>
    </row>
    <row r="32" spans="1:12" ht="34.5" customHeight="1" thickBot="1" x14ac:dyDescent="0.3">
      <c r="A32" s="722"/>
      <c r="B32" s="723"/>
      <c r="C32" s="724"/>
      <c r="D32" s="725"/>
      <c r="E32" s="726"/>
      <c r="F32" s="727"/>
      <c r="G32" s="728"/>
      <c r="H32" s="729"/>
      <c r="I32" s="724"/>
      <c r="J32" s="726"/>
      <c r="K32" s="730"/>
    </row>
    <row r="33" spans="1:15" ht="103.5" customHeight="1" x14ac:dyDescent="0.25">
      <c r="A33" s="731"/>
      <c r="B33" s="2431" t="s">
        <v>1238</v>
      </c>
      <c r="C33" s="2432"/>
      <c r="D33" s="2432"/>
      <c r="E33" s="2433"/>
      <c r="F33" s="732"/>
      <c r="G33" s="733"/>
      <c r="H33" s="734"/>
      <c r="I33" s="735"/>
      <c r="J33" s="913"/>
      <c r="K33" s="736"/>
      <c r="L33" s="737"/>
      <c r="M33" s="737"/>
      <c r="N33" s="738"/>
    </row>
    <row r="34" spans="1:15" ht="32.25" customHeight="1" x14ac:dyDescent="0.25">
      <c r="A34" s="739"/>
      <c r="B34" s="2434" t="s">
        <v>1239</v>
      </c>
      <c r="C34" s="2434"/>
      <c r="D34" s="724"/>
      <c r="E34" s="724"/>
      <c r="F34" s="740"/>
      <c r="G34" s="728"/>
      <c r="H34" s="741"/>
      <c r="I34" s="728"/>
      <c r="J34" s="726"/>
      <c r="K34" s="742"/>
      <c r="N34" s="743"/>
    </row>
    <row r="35" spans="1:15" ht="44.25" customHeight="1" x14ac:dyDescent="0.25">
      <c r="A35" s="2435" t="s">
        <v>1636</v>
      </c>
      <c r="B35" s="2436"/>
      <c r="C35" s="2436"/>
      <c r="D35" s="2436"/>
      <c r="E35" s="2436"/>
      <c r="F35" s="2436"/>
      <c r="G35" s="2436"/>
      <c r="H35" s="2436"/>
      <c r="I35" s="2436"/>
      <c r="J35" s="2436"/>
      <c r="K35" s="2436"/>
      <c r="L35" s="2436"/>
      <c r="M35" s="2436"/>
      <c r="N35" s="2437"/>
    </row>
    <row r="36" spans="1:15" ht="16.5" customHeight="1" thickBot="1" x14ac:dyDescent="0.3">
      <c r="A36" s="744"/>
      <c r="B36" s="710"/>
      <c r="C36" s="718"/>
      <c r="D36" s="718"/>
      <c r="E36" s="718"/>
      <c r="F36" s="718"/>
      <c r="G36" s="709"/>
      <c r="H36" s="606"/>
      <c r="N36" s="743"/>
    </row>
    <row r="37" spans="1:15" ht="81.75" customHeight="1" thickBot="1" x14ac:dyDescent="0.3">
      <c r="A37" s="745" t="s">
        <v>1647</v>
      </c>
      <c r="B37" s="746" t="s">
        <v>1240</v>
      </c>
      <c r="C37" s="746" t="s">
        <v>1241</v>
      </c>
      <c r="D37" s="746" t="s">
        <v>1242</v>
      </c>
      <c r="E37" s="2438" t="s">
        <v>1243</v>
      </c>
      <c r="F37" s="2439"/>
      <c r="G37" s="746" t="s">
        <v>1244</v>
      </c>
      <c r="H37" s="746" t="s">
        <v>1245</v>
      </c>
      <c r="I37" s="746" t="s">
        <v>1246</v>
      </c>
      <c r="J37" s="746" t="s">
        <v>1247</v>
      </c>
      <c r="K37" s="746" t="s">
        <v>1248</v>
      </c>
      <c r="L37" s="746" t="s">
        <v>1249</v>
      </c>
      <c r="M37" s="746" t="s">
        <v>1250</v>
      </c>
      <c r="N37" s="747" t="s">
        <v>1251</v>
      </c>
      <c r="O37" s="748" t="s">
        <v>1252</v>
      </c>
    </row>
    <row r="38" spans="1:15" s="605" customFormat="1" ht="87" customHeight="1" thickBot="1" x14ac:dyDescent="0.3">
      <c r="A38" s="1415">
        <v>1</v>
      </c>
      <c r="B38" s="1420" t="s">
        <v>1253</v>
      </c>
      <c r="C38" s="1421" t="s">
        <v>1421</v>
      </c>
      <c r="D38" s="1422" t="s">
        <v>470</v>
      </c>
      <c r="E38" s="2423" t="s">
        <v>1759</v>
      </c>
      <c r="F38" s="2423"/>
      <c r="G38" s="1421" t="s">
        <v>1374</v>
      </c>
      <c r="H38" s="1422" t="s">
        <v>1283</v>
      </c>
      <c r="I38" s="1423">
        <v>4510000</v>
      </c>
      <c r="J38" s="912">
        <f>_xlfn.IFNA(IF(VLOOKUP(D38,'ANALÍTICA PRESUPUESTAL'!$B$18:$B$96,1,)="","No se audito",IF(I38/VLOOKUP(D38,'ANALÍTICA PRESUPUESTAL'!$B$18:$C$96,2,)*100&gt;0, I38/VLOOKUP(D38,'ANALÍTICA PRESUPUESTAL'!$B$18:$C$96,2,),"")),"")</f>
        <v>4.5100000000000001E-4</v>
      </c>
      <c r="K38" s="1433" t="s">
        <v>1258</v>
      </c>
      <c r="L38" s="1437"/>
      <c r="M38" s="1422" t="s">
        <v>1349</v>
      </c>
      <c r="N38" s="1438" t="s">
        <v>1259</v>
      </c>
      <c r="O38" s="1439"/>
    </row>
    <row r="39" spans="1:15" s="605" customFormat="1" ht="115.5" customHeight="1" thickBot="1" x14ac:dyDescent="0.3">
      <c r="A39" s="1416">
        <v>2</v>
      </c>
      <c r="B39" s="1424" t="s">
        <v>1260</v>
      </c>
      <c r="C39" s="1421" t="s">
        <v>1369</v>
      </c>
      <c r="D39" s="1422" t="s">
        <v>797</v>
      </c>
      <c r="E39" s="2423" t="s">
        <v>1648</v>
      </c>
      <c r="F39" s="2423"/>
      <c r="G39" s="1421" t="s">
        <v>1256</v>
      </c>
      <c r="H39" s="1422" t="s">
        <v>1283</v>
      </c>
      <c r="I39" s="1425">
        <v>20000</v>
      </c>
      <c r="J39" s="912">
        <f>_xlfn.IFNA(IF(VLOOKUP(D39,'ANALÍTICA PRESUPUESTAL'!$B$18:$B$96,1,)="","No se audito",IF(I39/VLOOKUP(D39,'ANALÍTICA PRESUPUESTAL'!$B$18:$C$96,2,)*100&gt;0, I39/VLOOKUP(D39,'ANALÍTICA PRESUPUESTAL'!$B$18:$C$96,2,),"")),"")</f>
        <v>1.6641704110500914E-2</v>
      </c>
      <c r="K39" s="1434" t="s">
        <v>1263</v>
      </c>
      <c r="L39" s="1440"/>
      <c r="M39" s="1422" t="s">
        <v>1349</v>
      </c>
      <c r="N39" s="1441" t="s">
        <v>1264</v>
      </c>
      <c r="O39" s="1442"/>
    </row>
    <row r="40" spans="1:15" s="605" customFormat="1" ht="129" customHeight="1" thickBot="1" x14ac:dyDescent="0.3">
      <c r="A40" s="1417">
        <v>3</v>
      </c>
      <c r="B40" s="1426" t="s">
        <v>1265</v>
      </c>
      <c r="C40" s="1421" t="s">
        <v>1351</v>
      </c>
      <c r="D40" s="1422" t="s">
        <v>798</v>
      </c>
      <c r="E40" s="2423" t="s">
        <v>1255</v>
      </c>
      <c r="F40" s="2423"/>
      <c r="G40" s="1421" t="s">
        <v>1256</v>
      </c>
      <c r="H40" s="1422" t="s">
        <v>1366</v>
      </c>
      <c r="I40" s="1423">
        <v>10000</v>
      </c>
      <c r="J40" s="912">
        <f>_xlfn.IFNA(IF(VLOOKUP(D40,'ANALÍTICA PRESUPUESTAL'!$B$18:$B$96,1,)="","No se audito",IF(I40/VLOOKUP(D40,'ANALÍTICA PRESUPUESTAL'!$B$18:$C$96,2,)*100&gt;0, I40/VLOOKUP(D40,'ANALÍTICA PRESUPUESTAL'!$B$18:$C$96,2,),"")),"")</f>
        <v>8.3208520552504571E-3</v>
      </c>
      <c r="K40" s="1435" t="s">
        <v>1268</v>
      </c>
      <c r="L40" s="1443"/>
      <c r="M40" s="1422" t="s">
        <v>1349</v>
      </c>
      <c r="N40" s="1444" t="s">
        <v>1270</v>
      </c>
      <c r="O40" s="1445"/>
    </row>
    <row r="41" spans="1:15" s="605" customFormat="1" ht="148.5" customHeight="1" thickBot="1" x14ac:dyDescent="0.3">
      <c r="A41" s="1415">
        <v>4</v>
      </c>
      <c r="B41" s="1427" t="s">
        <v>1271</v>
      </c>
      <c r="C41" s="1421" t="s">
        <v>1286</v>
      </c>
      <c r="D41" s="1422" t="s">
        <v>798</v>
      </c>
      <c r="E41" s="2423" t="s">
        <v>1255</v>
      </c>
      <c r="F41" s="2423"/>
      <c r="G41" s="1421" t="s">
        <v>1256</v>
      </c>
      <c r="H41" s="1422" t="s">
        <v>1273</v>
      </c>
      <c r="I41" s="1423">
        <v>50000</v>
      </c>
      <c r="J41" s="912">
        <f>_xlfn.IFNA(IF(VLOOKUP(D41,'ANALÍTICA PRESUPUESTAL'!$B$18:$B$96,1,)="","No se audito",IF(I41/VLOOKUP(D41,'ANALÍTICA PRESUPUESTAL'!$B$18:$C$96,2,)*100&gt;0, I41/VLOOKUP(D41,'ANALÍTICA PRESUPUESTAL'!$B$18:$C$96,2,),"")),"")</f>
        <v>4.1604260276252289E-2</v>
      </c>
      <c r="K41" s="1433" t="s">
        <v>1274</v>
      </c>
      <c r="L41" s="1437"/>
      <c r="M41" s="1422" t="s">
        <v>1349</v>
      </c>
      <c r="N41" s="1446" t="s">
        <v>1275</v>
      </c>
      <c r="O41" s="1442"/>
    </row>
    <row r="42" spans="1:15" s="605" customFormat="1" ht="77.25" customHeight="1" thickBot="1" x14ac:dyDescent="0.3">
      <c r="A42" s="1417">
        <v>5</v>
      </c>
      <c r="B42" s="1426" t="s">
        <v>1276</v>
      </c>
      <c r="C42" s="1421"/>
      <c r="D42" s="1422"/>
      <c r="E42" s="2423" t="s">
        <v>1255</v>
      </c>
      <c r="F42" s="2423"/>
      <c r="G42" s="1421" t="s">
        <v>1256</v>
      </c>
      <c r="H42" s="1422" t="s">
        <v>1381</v>
      </c>
      <c r="I42" s="1428"/>
      <c r="J42" s="912" t="str">
        <f>_xlfn.IFNA(IF(VLOOKUP(D42,'ANALÍTICA PRESUPUESTAL'!$B$18:$B$96,1,)="","No se audito",IF(I42/VLOOKUP(D42,'ANALÍTICA PRESUPUESTAL'!$B$18:$C$96,2,)*100&gt;0, I42/VLOOKUP(D42,'ANALÍTICA PRESUPUESTAL'!$B$18:$C$96,2,),"")),"")</f>
        <v/>
      </c>
      <c r="K42" s="1435" t="s">
        <v>1278</v>
      </c>
      <c r="L42" s="1443"/>
      <c r="M42" s="1422" t="s">
        <v>1349</v>
      </c>
      <c r="N42" s="1444" t="s">
        <v>1279</v>
      </c>
      <c r="O42" s="1445"/>
    </row>
    <row r="43" spans="1:15" s="605" customFormat="1" ht="69" customHeight="1" thickBot="1" x14ac:dyDescent="0.3">
      <c r="A43" s="1418">
        <v>6</v>
      </c>
      <c r="B43" s="1429" t="s">
        <v>1280</v>
      </c>
      <c r="C43" s="1421"/>
      <c r="D43" s="1422"/>
      <c r="E43" s="2423" t="s">
        <v>1255</v>
      </c>
      <c r="F43" s="2423"/>
      <c r="G43" s="1421" t="s">
        <v>1256</v>
      </c>
      <c r="H43" s="1422" t="s">
        <v>1257</v>
      </c>
      <c r="I43" s="1430"/>
      <c r="J43" s="912" t="str">
        <f>_xlfn.IFNA(IF(VLOOKUP(D43,'ANALÍTICA PRESUPUESTAL'!$B$18:$B$96,1,)="","No se audito",IF(I43/VLOOKUP(D43,'ANALÍTICA PRESUPUESTAL'!$B$18:$C$96,2,)*100&gt;0, I43/VLOOKUP(D43,'ANALÍTICA PRESUPUESTAL'!$B$18:$C$96,2,),"")),"")</f>
        <v/>
      </c>
      <c r="K43" s="1436" t="s">
        <v>1284</v>
      </c>
      <c r="L43" s="1447"/>
      <c r="M43" s="1422" t="s">
        <v>1349</v>
      </c>
      <c r="N43" s="1448">
        <v>3</v>
      </c>
      <c r="O43" s="1449"/>
    </row>
    <row r="44" spans="1:15" s="605" customFormat="1" ht="40.15" customHeight="1" thickBot="1" x14ac:dyDescent="0.3">
      <c r="A44" s="1415">
        <v>7</v>
      </c>
      <c r="B44" s="1431" t="s">
        <v>1280</v>
      </c>
      <c r="C44" s="1421"/>
      <c r="D44" s="1422"/>
      <c r="E44" s="2423" t="s">
        <v>1255</v>
      </c>
      <c r="F44" s="2423"/>
      <c r="G44" s="1421" t="s">
        <v>1256</v>
      </c>
      <c r="H44" s="1422" t="s">
        <v>1376</v>
      </c>
      <c r="I44" s="1423"/>
      <c r="J44" s="912" t="str">
        <f>_xlfn.IFNA(IF(VLOOKUP(D44,'ANALÍTICA PRESUPUESTAL'!$B$18:$B$96,1,)="","No se audito",IF(I44/VLOOKUP(D44,'ANALÍTICA PRESUPUESTAL'!$B$18:$C$96,2,)*100&gt;0, I44/VLOOKUP(D44,'ANALÍTICA PRESUPUESTAL'!$B$18:$C$96,2,),"")),"")</f>
        <v/>
      </c>
      <c r="K44" s="1433" t="s">
        <v>669</v>
      </c>
      <c r="L44" s="1437"/>
      <c r="M44" s="1422" t="s">
        <v>1349</v>
      </c>
      <c r="N44" s="1446">
        <v>4</v>
      </c>
      <c r="O44" s="1442"/>
    </row>
    <row r="45" spans="1:15" s="605" customFormat="1" ht="51.4" customHeight="1" thickBot="1" x14ac:dyDescent="0.3">
      <c r="A45" s="1417">
        <v>8</v>
      </c>
      <c r="B45" s="1432" t="s">
        <v>1280</v>
      </c>
      <c r="C45" s="1421"/>
      <c r="D45" s="1422"/>
      <c r="E45" s="2423" t="s">
        <v>1255</v>
      </c>
      <c r="F45" s="2423"/>
      <c r="G45" s="1421" t="s">
        <v>1256</v>
      </c>
      <c r="H45" s="1422" t="s">
        <v>1366</v>
      </c>
      <c r="I45" s="1425"/>
      <c r="J45" s="912" t="str">
        <f>_xlfn.IFNA(IF(VLOOKUP(D45,'ANALÍTICA PRESUPUESTAL'!$B$18:$B$96,1,)="","No se audito",IF(I45/VLOOKUP(D45,'ANALÍTICA PRESUPUESTAL'!$B$18:$C$96,2,)*100&gt;0, I45/VLOOKUP(D45,'ANALÍTICA PRESUPUESTAL'!$B$18:$C$96,2,),"")),"")</f>
        <v/>
      </c>
      <c r="K45" s="1435" t="s">
        <v>1292</v>
      </c>
      <c r="L45" s="1443"/>
      <c r="M45" s="1422" t="s">
        <v>1349</v>
      </c>
      <c r="N45" s="1444">
        <v>5</v>
      </c>
      <c r="O45" s="1445"/>
    </row>
    <row r="46" spans="1:15" s="605" customFormat="1" ht="21" customHeight="1" thickBot="1" x14ac:dyDescent="0.3">
      <c r="A46" s="1415">
        <v>9</v>
      </c>
      <c r="B46" s="1431"/>
      <c r="C46" s="1421"/>
      <c r="D46" s="1422"/>
      <c r="E46" s="2423"/>
      <c r="F46" s="2423"/>
      <c r="G46" s="1421"/>
      <c r="H46" s="1422"/>
      <c r="I46" s="1423"/>
      <c r="J46" s="912" t="str">
        <f>_xlfn.IFNA(IF(VLOOKUP(D46,'ANALÍTICA PRESUPUESTAL'!$B$18:$B$96,1,)="","No se audito",IF(I46/VLOOKUP(D46,'ANALÍTICA PRESUPUESTAL'!$B$18:$C$96,2,)*100&gt;0, I46/VLOOKUP(D46,'ANALÍTICA PRESUPUESTAL'!$B$18:$C$96,2,),"")),"")</f>
        <v/>
      </c>
      <c r="K46" s="1433"/>
      <c r="L46" s="1437"/>
      <c r="M46" s="1422"/>
      <c r="N46" s="1446"/>
      <c r="O46" s="1442"/>
    </row>
    <row r="47" spans="1:15" s="605" customFormat="1" ht="21" customHeight="1" thickBot="1" x14ac:dyDescent="0.3">
      <c r="A47" s="1417">
        <v>10</v>
      </c>
      <c r="B47" s="1432"/>
      <c r="C47" s="1421"/>
      <c r="D47" s="1422"/>
      <c r="E47" s="2423"/>
      <c r="F47" s="2423"/>
      <c r="G47" s="1421"/>
      <c r="H47" s="1422"/>
      <c r="I47" s="1425"/>
      <c r="J47" s="912" t="str">
        <f>_xlfn.IFNA(IF(VLOOKUP(D47,'ANALÍTICA PRESUPUESTAL'!$B$18:$B$96,1,)="","No se audito",IF(I47/VLOOKUP(D47,'ANALÍTICA PRESUPUESTAL'!$B$18:$C$96,2,)*100&gt;0, I47/VLOOKUP(D47,'ANALÍTICA PRESUPUESTAL'!$B$18:$C$96,2,),"")),"")</f>
        <v/>
      </c>
      <c r="K47" s="1435"/>
      <c r="L47" s="1443"/>
      <c r="M47" s="1422"/>
      <c r="N47" s="1444"/>
      <c r="O47" s="1445"/>
    </row>
    <row r="48" spans="1:15" s="605" customFormat="1" ht="21" customHeight="1" thickBot="1" x14ac:dyDescent="0.3">
      <c r="A48" s="1415">
        <v>11</v>
      </c>
      <c r="B48" s="1431"/>
      <c r="C48" s="1421"/>
      <c r="D48" s="1422"/>
      <c r="E48" s="2423"/>
      <c r="F48" s="2423"/>
      <c r="G48" s="1421"/>
      <c r="H48" s="1422"/>
      <c r="I48" s="1423"/>
      <c r="J48" s="912" t="str">
        <f>_xlfn.IFNA(IF(VLOOKUP(D48,'ANALÍTICA PRESUPUESTAL'!$B$18:$B$96,1,)="","No se audito",IF(I48/VLOOKUP(D48,'ANALÍTICA PRESUPUESTAL'!$B$18:$C$96,2,)*100&gt;0, I48/VLOOKUP(D48,'ANALÍTICA PRESUPUESTAL'!$B$18:$C$96,2,),"")),"")</f>
        <v/>
      </c>
      <c r="K48" s="1433"/>
      <c r="L48" s="1437"/>
      <c r="M48" s="1422"/>
      <c r="N48" s="1446"/>
      <c r="O48" s="1442"/>
    </row>
    <row r="49" spans="1:15" s="605" customFormat="1" ht="21" customHeight="1" thickBot="1" x14ac:dyDescent="0.3">
      <c r="A49" s="1417">
        <v>12</v>
      </c>
      <c r="B49" s="1432"/>
      <c r="C49" s="1421"/>
      <c r="D49" s="1422"/>
      <c r="E49" s="2423"/>
      <c r="F49" s="2423"/>
      <c r="G49" s="1421"/>
      <c r="H49" s="1422"/>
      <c r="I49" s="1425"/>
      <c r="J49" s="912" t="str">
        <f>_xlfn.IFNA(IF(VLOOKUP(D49,'ANALÍTICA PRESUPUESTAL'!$B$18:$B$96,1,)="","No se audito",IF(I49/VLOOKUP(D49,'ANALÍTICA PRESUPUESTAL'!$B$18:$C$96,2,)*100&gt;0, I49/VLOOKUP(D49,'ANALÍTICA PRESUPUESTAL'!$B$18:$C$96,2,),"")),"")</f>
        <v/>
      </c>
      <c r="K49" s="1435"/>
      <c r="L49" s="1443"/>
      <c r="M49" s="1422"/>
      <c r="N49" s="1444"/>
      <c r="O49" s="1445"/>
    </row>
    <row r="50" spans="1:15" s="605" customFormat="1" ht="21" customHeight="1" thickBot="1" x14ac:dyDescent="0.3">
      <c r="A50" s="1415">
        <v>13</v>
      </c>
      <c r="B50" s="1431"/>
      <c r="C50" s="1421"/>
      <c r="D50" s="1422"/>
      <c r="E50" s="2423"/>
      <c r="F50" s="2423"/>
      <c r="G50" s="1421"/>
      <c r="H50" s="1422"/>
      <c r="I50" s="1423"/>
      <c r="J50" s="912" t="str">
        <f>_xlfn.IFNA(IF(VLOOKUP(D50,'ANALÍTICA PRESUPUESTAL'!$B$18:$B$96,1,)="","No se audito",IF(I50/VLOOKUP(D50,'ANALÍTICA PRESUPUESTAL'!$B$18:$C$96,2,)*100&gt;0, I50/VLOOKUP(D50,'ANALÍTICA PRESUPUESTAL'!$B$18:$C$96,2,),"")),"")</f>
        <v/>
      </c>
      <c r="K50" s="1433"/>
      <c r="L50" s="1437"/>
      <c r="M50" s="1422"/>
      <c r="N50" s="1446"/>
      <c r="O50" s="1442"/>
    </row>
    <row r="51" spans="1:15" s="605" customFormat="1" ht="21" customHeight="1" thickBot="1" x14ac:dyDescent="0.3">
      <c r="A51" s="1417">
        <v>14</v>
      </c>
      <c r="B51" s="1432"/>
      <c r="C51" s="1421"/>
      <c r="D51" s="1422"/>
      <c r="E51" s="2423"/>
      <c r="F51" s="2423"/>
      <c r="G51" s="1421"/>
      <c r="H51" s="1422"/>
      <c r="I51" s="1425"/>
      <c r="J51" s="912" t="str">
        <f>_xlfn.IFNA(IF(VLOOKUP(D51,'ANALÍTICA PRESUPUESTAL'!$B$18:$B$96,1,)="","No se audito",IF(I51/VLOOKUP(D51,'ANALÍTICA PRESUPUESTAL'!$B$18:$C$96,2,)*100&gt;0, I51/VLOOKUP(D51,'ANALÍTICA PRESUPUESTAL'!$B$18:$C$96,2,),"")),"")</f>
        <v/>
      </c>
      <c r="K51" s="1435"/>
      <c r="L51" s="1443"/>
      <c r="M51" s="1422"/>
      <c r="N51" s="1444"/>
      <c r="O51" s="1445"/>
    </row>
    <row r="52" spans="1:15" s="605" customFormat="1" ht="21" customHeight="1" thickBot="1" x14ac:dyDescent="0.3">
      <c r="A52" s="1415">
        <v>15</v>
      </c>
      <c r="B52" s="1431"/>
      <c r="C52" s="1421"/>
      <c r="D52" s="1422"/>
      <c r="E52" s="2423"/>
      <c r="F52" s="2423"/>
      <c r="G52" s="1421"/>
      <c r="H52" s="1422"/>
      <c r="I52" s="1423"/>
      <c r="J52" s="912" t="str">
        <f>_xlfn.IFNA(IF(VLOOKUP(D52,'ANALÍTICA PRESUPUESTAL'!$B$18:$B$96,1,)="","No se audito",IF(I52/VLOOKUP(D52,'ANALÍTICA PRESUPUESTAL'!$B$18:$C$96,2,)*100&gt;0, I52/VLOOKUP(D52,'ANALÍTICA PRESUPUESTAL'!$B$18:$C$96,2,),"")),"")</f>
        <v/>
      </c>
      <c r="K52" s="1433"/>
      <c r="L52" s="1437"/>
      <c r="M52" s="1422"/>
      <c r="N52" s="1446"/>
      <c r="O52" s="1442"/>
    </row>
    <row r="53" spans="1:15" s="605" customFormat="1" ht="21" customHeight="1" thickBot="1" x14ac:dyDescent="0.3">
      <c r="A53" s="1419" t="s">
        <v>1293</v>
      </c>
      <c r="B53" s="1431"/>
      <c r="C53" s="1421"/>
      <c r="D53" s="1422"/>
      <c r="E53" s="2423"/>
      <c r="F53" s="2423"/>
      <c r="G53" s="1421"/>
      <c r="H53" s="1422"/>
      <c r="I53" s="1423"/>
      <c r="J53" s="912" t="str">
        <f>_xlfn.IFNA(IF(VLOOKUP(D53,'ANALÍTICA PRESUPUESTAL'!$B$18:$B$96,1,)="","No se audito",IF(I53/VLOOKUP(D53,'ANALÍTICA PRESUPUESTAL'!$B$18:$C$96,2,)*100&gt;0, I53/VLOOKUP(D53,'ANALÍTICA PRESUPUESTAL'!$B$18:$C$96,2,),"")),"")</f>
        <v/>
      </c>
      <c r="K53" s="1433"/>
      <c r="L53" s="1437"/>
      <c r="M53" s="1422"/>
      <c r="N53" s="1446"/>
      <c r="O53" s="1442"/>
    </row>
    <row r="54" spans="1:15" ht="27" customHeight="1" thickBot="1" x14ac:dyDescent="0.3">
      <c r="A54" s="2440" t="s">
        <v>1294</v>
      </c>
      <c r="B54" s="2440"/>
      <c r="C54" s="2440"/>
      <c r="D54" s="2440"/>
      <c r="E54" s="2440"/>
      <c r="F54" s="2440"/>
      <c r="G54" s="2440"/>
      <c r="H54" s="2441"/>
      <c r="I54" s="749">
        <f>SUM(I38:I53)</f>
        <v>4590000</v>
      </c>
      <c r="J54" s="750"/>
      <c r="K54" s="751"/>
      <c r="L54" s="752"/>
      <c r="M54" s="708"/>
      <c r="N54" s="750"/>
      <c r="O54" s="750"/>
    </row>
    <row r="55" spans="1:15" s="1451" customFormat="1" ht="27" customHeight="1" x14ac:dyDescent="0.25">
      <c r="A55" s="1450" t="s">
        <v>1295</v>
      </c>
      <c r="L55" s="1452"/>
      <c r="M55" s="1452"/>
      <c r="N55" s="1452"/>
      <c r="O55" s="1452"/>
    </row>
    <row r="56" spans="1:15" s="1451" customFormat="1" ht="21" customHeight="1" x14ac:dyDescent="0.25">
      <c r="L56" s="1453"/>
    </row>
    <row r="57" spans="1:15" s="1451" customFormat="1" ht="39" customHeight="1" x14ac:dyDescent="0.25">
      <c r="A57" s="2442" t="s">
        <v>1632</v>
      </c>
      <c r="B57" s="2442"/>
      <c r="C57" s="2442"/>
      <c r="D57" s="2442"/>
      <c r="E57" s="2442"/>
      <c r="F57" s="2442"/>
      <c r="G57" s="2442"/>
      <c r="H57" s="2442"/>
      <c r="I57" s="2442"/>
    </row>
    <row r="58" spans="1:15" s="1451" customFormat="1" ht="27.75" customHeight="1" x14ac:dyDescent="0.25">
      <c r="A58" s="2442"/>
      <c r="B58" s="2442"/>
      <c r="C58" s="2442"/>
      <c r="D58" s="2442"/>
      <c r="E58" s="2442"/>
      <c r="F58" s="2442"/>
      <c r="G58" s="2442"/>
      <c r="H58" s="2442"/>
      <c r="I58" s="2442"/>
    </row>
    <row r="59" spans="1:15" s="1451" customFormat="1" ht="34.5" customHeight="1" x14ac:dyDescent="0.25">
      <c r="A59" s="2442"/>
      <c r="B59" s="2442"/>
      <c r="C59" s="2442"/>
      <c r="D59" s="2442"/>
      <c r="E59" s="2442"/>
      <c r="F59" s="2442"/>
      <c r="G59" s="2442"/>
      <c r="H59" s="2442"/>
      <c r="I59" s="2442"/>
    </row>
    <row r="60" spans="1:15" s="1451" customFormat="1" x14ac:dyDescent="0.25">
      <c r="A60" s="2442"/>
      <c r="B60" s="2442"/>
      <c r="C60" s="2442"/>
      <c r="D60" s="2442"/>
      <c r="E60" s="2442"/>
      <c r="F60" s="2442"/>
      <c r="G60" s="2442"/>
      <c r="H60" s="2442"/>
      <c r="I60" s="2442"/>
    </row>
    <row r="61" spans="1:15" s="1451" customFormat="1" x14ac:dyDescent="0.25">
      <c r="A61" s="2442"/>
      <c r="B61" s="2442"/>
      <c r="C61" s="2442"/>
      <c r="D61" s="2442"/>
      <c r="E61" s="2442"/>
      <c r="F61" s="2442"/>
      <c r="G61" s="2442"/>
      <c r="H61" s="2442"/>
      <c r="I61" s="2442"/>
    </row>
    <row r="62" spans="1:15" s="1451" customFormat="1" ht="43.5" customHeight="1" x14ac:dyDescent="0.25">
      <c r="A62" s="2442"/>
      <c r="B62" s="2442"/>
      <c r="C62" s="2442"/>
      <c r="D62" s="2442"/>
      <c r="E62" s="2442"/>
      <c r="F62" s="2442"/>
      <c r="G62" s="2442"/>
      <c r="H62" s="2442"/>
      <c r="I62" s="2442"/>
    </row>
    <row r="63" spans="1:15" s="1451" customFormat="1" ht="36" customHeight="1" x14ac:dyDescent="0.25">
      <c r="A63" s="2442"/>
      <c r="B63" s="2442"/>
      <c r="C63" s="2442"/>
      <c r="D63" s="2442"/>
      <c r="E63" s="2442"/>
      <c r="F63" s="2442"/>
      <c r="G63" s="2442"/>
      <c r="H63" s="2442"/>
      <c r="I63" s="2442"/>
    </row>
    <row r="64" spans="1:15" s="1451" customFormat="1" ht="30" customHeight="1" x14ac:dyDescent="0.25">
      <c r="A64" s="2442"/>
      <c r="B64" s="2442"/>
      <c r="C64" s="2442"/>
      <c r="D64" s="2442"/>
      <c r="E64" s="2442"/>
      <c r="F64" s="2442"/>
      <c r="G64" s="2442"/>
      <c r="H64" s="2442"/>
      <c r="I64" s="2442"/>
    </row>
    <row r="65" spans="1:15" s="1451" customFormat="1" ht="21" customHeight="1" x14ac:dyDescent="0.25">
      <c r="A65" s="2442"/>
      <c r="B65" s="2442"/>
      <c r="C65" s="2442"/>
      <c r="D65" s="2442"/>
      <c r="E65" s="2442"/>
      <c r="F65" s="2442"/>
      <c r="G65" s="2442"/>
      <c r="H65" s="2442"/>
      <c r="I65" s="2442"/>
    </row>
    <row r="66" spans="1:15" s="1451" customFormat="1" ht="43.5" customHeight="1" x14ac:dyDescent="0.25">
      <c r="B66" s="2443" t="s">
        <v>1296</v>
      </c>
      <c r="C66" s="2443"/>
      <c r="D66" s="2443"/>
      <c r="E66" s="2443"/>
    </row>
    <row r="68" spans="1:15" ht="22.5" customHeight="1" x14ac:dyDescent="0.25">
      <c r="J68" s="2444" t="s">
        <v>1297</v>
      </c>
      <c r="K68" s="2444"/>
      <c r="L68" s="2444" t="s">
        <v>1298</v>
      </c>
      <c r="M68" s="2444"/>
    </row>
    <row r="69" spans="1:15" s="605" customFormat="1" ht="42" customHeight="1" thickBot="1" x14ac:dyDescent="0.3">
      <c r="B69" s="2445" t="s">
        <v>1299</v>
      </c>
      <c r="C69" s="2446"/>
      <c r="D69" s="2446"/>
      <c r="E69" s="2446"/>
      <c r="F69" s="2446"/>
      <c r="G69" s="2446"/>
      <c r="J69" s="2013" t="s">
        <v>1300</v>
      </c>
      <c r="K69" s="2013"/>
      <c r="L69" s="2013" t="s">
        <v>1301</v>
      </c>
      <c r="M69" s="2013"/>
    </row>
    <row r="70" spans="1:15" s="605" customFormat="1" ht="84.75" customHeight="1" x14ac:dyDescent="0.25">
      <c r="B70" s="1454" t="s">
        <v>1302</v>
      </c>
      <c r="C70" s="1455" t="s">
        <v>177</v>
      </c>
      <c r="D70" s="1455" t="s">
        <v>179</v>
      </c>
      <c r="E70" s="1456" t="s">
        <v>1303</v>
      </c>
      <c r="F70" s="1456" t="s">
        <v>1304</v>
      </c>
      <c r="G70" s="1457" t="s">
        <v>211</v>
      </c>
      <c r="H70" s="1458" t="str">
        <f>I37</f>
        <v>Valor de la Incorrección o Imposibilidad
( Valores en pesos)</v>
      </c>
      <c r="I70" s="1458" t="str">
        <f>J37</f>
        <v>Porcentaje (% ) de hallazgo o salvedad respecto a la cuenta presupuestal</v>
      </c>
      <c r="J70" s="1459" t="s">
        <v>1305</v>
      </c>
      <c r="K70" s="1459" t="s">
        <v>1306</v>
      </c>
      <c r="L70" s="1459" t="s">
        <v>1307</v>
      </c>
      <c r="M70" s="1459" t="s">
        <v>1308</v>
      </c>
      <c r="N70" s="1459" t="s">
        <v>1309</v>
      </c>
      <c r="O70" s="1459" t="s">
        <v>1310</v>
      </c>
    </row>
    <row r="71" spans="1:15" s="605" customFormat="1" ht="32.25" customHeight="1" x14ac:dyDescent="0.25">
      <c r="B71" s="1460" t="s">
        <v>470</v>
      </c>
      <c r="C71" s="1461" t="str">
        <f>IF(B71="","","EFICACIA")</f>
        <v>EFICACIA</v>
      </c>
      <c r="D71" s="1462">
        <f>IF('MATERIALIDAD PRESUPUESTAL'!$A$34="","",AVERAGE(K21,K31))</f>
        <v>0.75610238300854382</v>
      </c>
      <c r="E71" s="1479" t="s">
        <v>1349</v>
      </c>
      <c r="F71" s="1463">
        <f>IF(OR(B71="",D71=""),"",IF(E71='LISTAS PPTO'!$V$6,D71-'LISTAS PPTO'!$X$6,IF(E71='LISTAS PPTO'!$V$7,D71-'LISTAS PPTO'!$X$7,IF(E71='LISTAS PPTO'!$V$8,D71-'LISTAS PPTO'!$X$8,IF(E71='LISTAS PPTO'!$V$9,D71-'LISTAS PPTO'!$X$9,IF(E71='LISTAS PPTO'!$V$10,D71-'LISTAS PPTO'!$X$10,IF(E71='LISTAS PPTO'!$V$11,D71-'LISTAS PPTO'!$X$11,IF(E71='LISTAS PPTO'!$V$5,D71-'LISTAS PPTO'!$X$5,IF(E71='LISTAS PPTO'!$V$4,D71-'LISTAS PPTO'!$X$4,D71)))))))))</f>
        <v>0.75610238300854382</v>
      </c>
      <c r="G71" s="1464" t="str">
        <f t="shared" ref="G71:G78" si="1">IF(D71="","",IF(F71&gt;=0.75,"EFICAZ","INEFICAZ"))</f>
        <v>EFICAZ</v>
      </c>
      <c r="H71" s="753">
        <f>IF(OR(B71="",D71=""),"",SUMIF($D$38:$D$53,"*INGRESOS*",$I$38:$I$53))</f>
        <v>4510000</v>
      </c>
      <c r="I71" s="918">
        <f>IF(OR(H71&lt;=0,H71=""),"",SUMIF($D$38:$D$53,"*INGRESOS*",$J$38:$J$53))</f>
        <v>4.5100000000000001E-4</v>
      </c>
      <c r="J71" s="914">
        <f>IF(OR(I71&lt;=0,I71=""),"",SUMIF($C$38:$C$53,"*Incorrección*Ingresos*",$I$38:$I$53)/'MATERIALIDAD PRESUPUESTAL'!$D$34)</f>
        <v>1.5033333333333333E-2</v>
      </c>
      <c r="K71" s="916">
        <f>IF(OR(J71&lt;=0,J71=""),"",SUMIF($C$38:$C$53,"*Incorrección*Ingresos*",$I$38:$I$53)/'MATERIALIDAD PRESUPUESTAL'!$D$34)</f>
        <v>1.5033333333333333E-2</v>
      </c>
      <c r="L71" s="915">
        <f>IF(OR(I71&lt;=0,I71=""),"",SUMIF($C$38:$C$53,"*Imposibilidades*Ingresos*",$I$38:$I$53)/'MATERIALIDAD PRESUPUESTAL'!$D$34)</f>
        <v>0</v>
      </c>
      <c r="M71" s="916">
        <f>IF(OR(I71&lt;=0,I71=""),"",SUMIF($C$38:$C$53,"*Imposibilidades*Ingresos*",$J$38:$J$53)/'MATERIALIDAD PRESUPUESTAL'!$C$34)</f>
        <v>0</v>
      </c>
      <c r="N71" s="754">
        <f>IF(OR(I71&lt;=0,I71=""),"",H71/'MATERIALIDAD PRESUPUESTAL'!$D$34)</f>
        <v>1.5033333333333333E-2</v>
      </c>
      <c r="O71" s="917">
        <f>IF(OR(I71&lt;=0,I71=""),"",I71/'MATERIALIDAD PRESUPUESTAL'!$C$34)</f>
        <v>2.2550000000000001E-2</v>
      </c>
    </row>
    <row r="72" spans="1:15" s="605" customFormat="1" ht="32.25" customHeight="1" x14ac:dyDescent="0.25">
      <c r="B72" s="1460" t="s">
        <v>500</v>
      </c>
      <c r="C72" s="1461" t="str">
        <f t="shared" ref="C72:C78" si="2">IF(B72="","","EFICACIA")</f>
        <v>EFICACIA</v>
      </c>
      <c r="D72" s="1462">
        <f>IF('MATERIALIDAD PRESUPUESTAL'!$A$25="","",AVERAGE(K22:K23))</f>
        <v>0.8895380877011041</v>
      </c>
      <c r="E72" s="1479" t="s">
        <v>1349</v>
      </c>
      <c r="F72" s="1463">
        <f>IF(OR(B72="",D72=""),"",IF(E72='LISTAS PPTO'!$V$6,D72-'LISTAS PPTO'!$X$6,IF(E72='LISTAS PPTO'!$V$7,D72-'LISTAS PPTO'!$X$7,IF(E72='LISTAS PPTO'!$V$8,D72-'LISTAS PPTO'!$X$8,IF(E72='LISTAS PPTO'!$V$9,D72-'LISTAS PPTO'!$X$9,IF(E72='LISTAS PPTO'!$V$10,D72-'LISTAS PPTO'!$X$10,IF(E72='LISTAS PPTO'!$V$11,D72-'LISTAS PPTO'!$X$11,IF(E72='LISTAS PPTO'!$V$5,D72-'LISTAS PPTO'!$X$5,IF(E72='LISTAS PPTO'!$V$4,D72-'LISTAS PPTO'!$X$4,D72)))))))))</f>
        <v>0.8895380877011041</v>
      </c>
      <c r="G72" s="1464" t="str">
        <f t="shared" si="1"/>
        <v>EFICAZ</v>
      </c>
      <c r="H72" s="753">
        <f>IF(OR(B72="",D72=""),"",SUMIF($D$38:$D$53,"*GASTOS*",$I$38:$I$53))</f>
        <v>0</v>
      </c>
      <c r="I72" s="918" t="str">
        <f>IF(OR(H72&lt;=0,H72=""),"",SUMIF($D$38:$D$53,"GASTOS",$J$38:$J$53))</f>
        <v/>
      </c>
      <c r="J72" s="914" t="str">
        <f>IF(OR(I72&lt;=0,I72=""),"",SUMIF($C$38:$C$53,"*Incorrección*Gastos*",$I$38:$I$53)/'MATERIALIDAD PRESUPUESTAL'!$D$39)</f>
        <v/>
      </c>
      <c r="K72" s="916" t="str">
        <f>IF(OR(J72&lt;=0,J72=""),"",SUMIF($C$38:$C$53,"*Incorrección*Gastos*",$I$38:$I$53)/'MATERIALIDAD PRESUPUESTAL'!$D$39)</f>
        <v/>
      </c>
      <c r="L72" s="915" t="str">
        <f>IF(OR(I72&lt;=0,I72=""),"",SUMIF($C$38:$C$53,"*Imposibilidades*Gastos*",$I$38:$I$53)/'MATERIALIDAD PRESUPUESTAL'!$D$39)</f>
        <v/>
      </c>
      <c r="M72" s="916" t="str">
        <f>IF(OR(I72&lt;=0,I72=""),"",SUMIF($C$38:$C$53,"*Imposibilidades*Gastos*",$J$38:$J$53)/'MATERIALIDAD PRESUPUESTAL'!$C$39)</f>
        <v/>
      </c>
      <c r="N72" s="754" t="str">
        <f>IF(OR(I72&lt;=0,I72=""),"",H72/'MATERIALIDAD PRESUPUESTAL'!$D$39)</f>
        <v/>
      </c>
      <c r="O72" s="917" t="str">
        <f>IF(OR(I72&lt;=0,I72=""),"",I72/'MATERIALIDAD PRESUPUESTAL'!$C$39)</f>
        <v/>
      </c>
    </row>
    <row r="73" spans="1:15" s="605" customFormat="1" ht="32.25" customHeight="1" x14ac:dyDescent="0.25">
      <c r="B73" s="1460" t="s">
        <v>794</v>
      </c>
      <c r="C73" s="1461" t="str">
        <f t="shared" si="2"/>
        <v>EFICACIA</v>
      </c>
      <c r="D73" s="1462" t="str">
        <f>IF(OR('MATERIALIDAD PRESUPUESTAL'!$C$44="",'MATERIALIDAD PRESUPUESTAL'!$D$44=""),"",AVERAGE(K22:K23))</f>
        <v/>
      </c>
      <c r="E73" s="1479" t="s">
        <v>1349</v>
      </c>
      <c r="F73" s="1463" t="str">
        <f>IF(OR(B73="",D73=""),"",IF(E73='LISTAS PPTO'!$V$6,D73-'LISTAS PPTO'!$X$6,IF(E73='LISTAS PPTO'!$V$7,D73-'LISTAS PPTO'!$X$7,IF(E73='LISTAS PPTO'!$V$8,D73-'LISTAS PPTO'!$X$8,IF(E73='LISTAS PPTO'!$V$9,D73-'LISTAS PPTO'!$X$9,IF(E73='LISTAS PPTO'!$V$10,D73-'LISTAS PPTO'!$X$10,IF(E73='LISTAS PPTO'!$V$11,D73-'LISTAS PPTO'!$X$11,IF(E73='LISTAS PPTO'!$V$5,D73-'LISTAS PPTO'!$X$5,IF(E73='LISTAS PPTO'!$V$4,D73-'LISTAS PPTO'!$X$4,D73)))))))))</f>
        <v/>
      </c>
      <c r="G73" s="1464" t="str">
        <f t="shared" si="1"/>
        <v/>
      </c>
      <c r="H73" s="753" t="str">
        <f>IF(OR(B73="",D73=""),"",SUMIF($D$38:$D$53,"*GASTOS DE COMERCIALIZACIÓN Y PRODUCCIÓN*",$I$38:$I$53))</f>
        <v/>
      </c>
      <c r="I73" s="918" t="str">
        <f>IF(OR(H73&lt;=0,H73=""),"",SUMIF($D$38:$D$53,"*GASTOS DE COMERCIALIZACIÓN Y PRODUCCIÓN*",$J$38:$J$53))</f>
        <v/>
      </c>
      <c r="J73" s="914" t="str">
        <f>IF(OR(I73&lt;=0,I73=""),"",SUMIF($C$38:$C$53,"*Incorrección*Comercialización*",$I$38:$I$53)/'MATERIALIDAD PRESUPUESTAL'!$D$44)</f>
        <v/>
      </c>
      <c r="K73" s="916" t="str">
        <f>IF(OR(J73&lt;=0,J73=""),"",SUMIF($C$38:$C$53,"*Incorrección*Comercialización*",$I$38:$I$53)/'MATERIALIDAD PRESUPUESTAL'!$D$44)</f>
        <v/>
      </c>
      <c r="L73" s="915" t="str">
        <f>IF(OR(I73&lt;=0,I73=""),"",SUMIF($C$38:$C$53,"*Imposibilidades*Comercialización*",$I$38:$I$53)/'MATERIALIDAD PRESUPUESTAL'!$D$44)</f>
        <v/>
      </c>
      <c r="M73" s="916" t="str">
        <f>IF(OR(I73&lt;=0,I73=""),"",SUMIF($C$38:$C$53,"*Imposibilidades*Comercialización*",$J$38:$J$53)/'MATERIALIDAD PRESUPUESTAL'!$C$39)</f>
        <v/>
      </c>
      <c r="N73" s="754" t="str">
        <f>IF(OR(I73&lt;=0,I73=""),"",H73/'MATERIALIDAD PRESUPUESTAL'!$D$44)</f>
        <v/>
      </c>
      <c r="O73" s="917" t="str">
        <f>IF(OR(I73&lt;=0,I73=""),"",I73/'MATERIALIDAD PRESUPUESTAL'!$C$39)</f>
        <v/>
      </c>
    </row>
    <row r="74" spans="1:15" s="605" customFormat="1" ht="32.25" customHeight="1" x14ac:dyDescent="0.25">
      <c r="B74" s="1460" t="s">
        <v>1637</v>
      </c>
      <c r="C74" s="1461" t="str">
        <f t="shared" si="2"/>
        <v>EFICACIA</v>
      </c>
      <c r="D74" s="1462" t="str">
        <f>IF(OR('MATERIALIDAD PRESUPUESTAL'!$C$45="",'MATERIALIDAD PRESUPUESTAL'!$D$45=""),"",AVERAGE(K24,K27,K28))</f>
        <v/>
      </c>
      <c r="E74" s="1479" t="s">
        <v>1269</v>
      </c>
      <c r="F74" s="1463" t="str">
        <f>IF(OR(B74="",D74=""),"",IF(E74='LISTAS PPTO'!$V$6,D74-'LISTAS PPTO'!$X$6,IF(E74='LISTAS PPTO'!$V$7,D74-'LISTAS PPTO'!$X$7,IF(E74='LISTAS PPTO'!$V$8,D74-'LISTAS PPTO'!$X$8,IF(E74='LISTAS PPTO'!$V$9,D74-'LISTAS PPTO'!$X$9,IF(E74='LISTAS PPTO'!$V$10,D74-'LISTAS PPTO'!$X$10,IF(E74='LISTAS PPTO'!$V$11,D74-'LISTAS PPTO'!$X$11,IF(E74='LISTAS PPTO'!$V$5,D74-'LISTAS PPTO'!$X$5,IF(E74='LISTAS PPTO'!$V$4,D74-'LISTAS PPTO'!$X$4,D74)))))))))</f>
        <v/>
      </c>
      <c r="G74" s="1464" t="str">
        <f t="shared" si="1"/>
        <v/>
      </c>
      <c r="H74" s="753" t="str">
        <f>IF(OR(B74="",D74=""),"",SUMIF($D$38:$D$53,"*RESERVAS*",$I$38:$I$53))</f>
        <v/>
      </c>
      <c r="I74" s="918" t="str">
        <f>IF(OR(H74&lt;=0,H74=""),"",SUMIF($D$38:$D$53,"*RESERVAS*",$J$38:$J$53))</f>
        <v/>
      </c>
      <c r="J74" s="914" t="str">
        <f>IF(OR(I74&lt;=0,I74=""),"",SUMIF($C$38:$C$53,"*Incorrección*Reservas*",$I$38:$I$53)/'MATERIALIDAD PRESUPUESTAL'!$D$45)</f>
        <v/>
      </c>
      <c r="K74" s="916" t="str">
        <f>IF(OR(J74&lt;=0,J74=""),"",SUMIF($C$38:$C$53,"*Incorrección*Reservas*",$I$38:$I$53)/'MATERIALIDAD PRESUPUESTAL'!$D$45)</f>
        <v/>
      </c>
      <c r="L74" s="915" t="str">
        <f>IF(OR(I74&lt;=0,I74=""),"",SUMIF($C$38:$C$53,"*Imposibilidades*Reservas*",$I$38:$I$53)/'MATERIALIDAD PRESUPUESTAL'!$D$45)</f>
        <v/>
      </c>
      <c r="M74" s="916" t="str">
        <f>IF(OR(I74&lt;=0,I74=""),"",SUMIF($C$38:$C$53,"*Imposibilidades*Reservas*",$J$38:$J$53)/'MATERIALIDAD PRESUPUESTAL'!$C$39)</f>
        <v/>
      </c>
      <c r="N74" s="754" t="str">
        <f>IF(OR(I74&lt;=0,I74=""),"",H74/'MATERIALIDAD PRESUPUESTAL'!$D$45)</f>
        <v/>
      </c>
      <c r="O74" s="917" t="str">
        <f>IF(OR(I74&lt;=0,I74=""),"",I74/'MATERIALIDAD PRESUPUESTAL'!$C$39)</f>
        <v/>
      </c>
    </row>
    <row r="75" spans="1:15" s="605" customFormat="1" ht="32.25" customHeight="1" x14ac:dyDescent="0.25">
      <c r="B75" s="1460" t="s">
        <v>799</v>
      </c>
      <c r="C75" s="1461" t="str">
        <f t="shared" si="2"/>
        <v>EFICACIA</v>
      </c>
      <c r="D75" s="1462" t="str">
        <f>IF(OR('MATERIALIDAD PRESUPUESTAL'!$C$46="",'MATERIALIDAD PRESUPUESTAL'!$D$46=""),"",AVERAGE(K24))</f>
        <v/>
      </c>
      <c r="E75" s="1479" t="s">
        <v>1349</v>
      </c>
      <c r="F75" s="1463" t="str">
        <f>IF(OR(B75="",D75=""),"",IF(E75='LISTAS PPTO'!$V$6,D75-'LISTAS PPTO'!$X$6,IF(E75='LISTAS PPTO'!$V$7,D75-'LISTAS PPTO'!$X$7,IF(E75='LISTAS PPTO'!$V$8,D75-'LISTAS PPTO'!$X$8,IF(E75='LISTAS PPTO'!$V$9,D75-'LISTAS PPTO'!$X$9,IF(E75='LISTAS PPTO'!$V$10,D75-'LISTAS PPTO'!$X$10,IF(E75='LISTAS PPTO'!$V$11,D75-'LISTAS PPTO'!$X$11,IF(E75='LISTAS PPTO'!$V$5,D75-'LISTAS PPTO'!$X$5,IF(E75='LISTAS PPTO'!$V$4,D75-'LISTAS PPTO'!$X$4,D75)))))))))</f>
        <v/>
      </c>
      <c r="G75" s="1464" t="str">
        <f t="shared" si="1"/>
        <v/>
      </c>
      <c r="H75" s="753" t="str">
        <f>IF(OR(B75="",D75=""),"",SUMIF($D$38:$D$53,"*OBLIGACIONES*",$I$38:$I$53))</f>
        <v/>
      </c>
      <c r="I75" s="918" t="str">
        <f>IF(OR(H75&lt;=0,H75=""),"",SUMIF($D$38:$D$53,"*OBLIGACIONES*",$J$38:$J$53))</f>
        <v/>
      </c>
      <c r="J75" s="914" t="str">
        <f>IF(OR(I75&lt;=0,I75=""),"",SUMIF($C$38:$C$53,"*Incorrección*Obligaciones*",$I$38:$I$53)/'MATERIALIDAD PRESUPUESTAL'!$D$46)</f>
        <v/>
      </c>
      <c r="K75" s="916" t="str">
        <f>IF(OR(J75&lt;=0,J75=""),"",SUMIF($C$38:$C$53,"*Incorrección*Obligaciones*",$I$38:$I$53)/'MATERIALIDAD PRESUPUESTAL'!$D$46)</f>
        <v/>
      </c>
      <c r="L75" s="915" t="str">
        <f>IF(OR(I75&lt;=0,I75=""),"",SUMIF($C$38:$C$53,"*Imposibilidades*Obligaciones*",$I$38:$I$53)/'MATERIALIDAD PRESUPUESTAL'!$D$46)</f>
        <v/>
      </c>
      <c r="M75" s="916" t="str">
        <f>IF(OR(I75&lt;=0,I75=""),"",SUMIF($C$38:$C$53,"*Imposibilidades*Obligaciones*",$J$38:$J$53)/'MATERIALIDAD PRESUPUESTAL'!$C$39)</f>
        <v/>
      </c>
      <c r="N75" s="754" t="str">
        <f>IF(OR(I75&lt;=0,I75=""),"",H75/'MATERIALIDAD PRESUPUESTAL'!$D$46)</f>
        <v/>
      </c>
      <c r="O75" s="917" t="str">
        <f>IF(OR(I75&lt;=0,I75=""),"",I75/'MATERIALIDAD PRESUPUESTAL'!$C$39)</f>
        <v/>
      </c>
    </row>
    <row r="76" spans="1:15" s="605" customFormat="1" ht="32.25" customHeight="1" x14ac:dyDescent="0.25">
      <c r="B76" s="1460" t="s">
        <v>798</v>
      </c>
      <c r="C76" s="1461" t="str">
        <f t="shared" si="2"/>
        <v>EFICACIA</v>
      </c>
      <c r="D76" s="1462" t="str">
        <f>IF(OR('MATERIALIDAD PRESUPUESTAL'!$C$47="",'MATERIALIDAD PRESUPUESTAL'!$C$47=""),"",AVERAGE(K24))</f>
        <v/>
      </c>
      <c r="E76" s="1479" t="s">
        <v>1269</v>
      </c>
      <c r="F76" s="1463" t="str">
        <f>IF(OR(B76="",D76=""),"",IF(E76='LISTAS PPTO'!$V$6,D76-'LISTAS PPTO'!$X$6,IF(E76='LISTAS PPTO'!$V$7,D76-'LISTAS PPTO'!$X$7,IF(E76='LISTAS PPTO'!$V$8,D76-'LISTAS PPTO'!$X$8,IF(E76='LISTAS PPTO'!$V$9,D76-'LISTAS PPTO'!$X$9,IF(E76='LISTAS PPTO'!$V$10,D76-'LISTAS PPTO'!$X$10,IF(E76='LISTAS PPTO'!$V$11,D76-'LISTAS PPTO'!$X$11,IF(E76='LISTAS PPTO'!$V$5,D76-'LISTAS PPTO'!$X$5,IF(E76='LISTAS PPTO'!$V$4,D76-'LISTAS PPTO'!$X$4,D76)))))))))</f>
        <v/>
      </c>
      <c r="G76" s="1464" t="str">
        <f t="shared" si="1"/>
        <v/>
      </c>
      <c r="H76" s="753" t="str">
        <f>IF(OR(B76="",D76=""),"",SUMIF($D$38:$D$53,"*CUENTAS POR PAGAR*",$I$38:$I$53))</f>
        <v/>
      </c>
      <c r="I76" s="918" t="str">
        <f>IF(OR(H76&lt;=0,H76=""),"",SUMIF($D$38:$D$53,"*CUENTAS POR PAGAR*",$J$38:$J$53))</f>
        <v/>
      </c>
      <c r="J76" s="914" t="str">
        <f>IF(OR(I76&lt;=0,I76=""),"",SUMIF($C$38:$C$53,"*Incorrección*Cuentas por Pagar*",$I$38:$I$53)/'MATERIALIDAD PRESUPUESTAL'!$D$47)</f>
        <v/>
      </c>
      <c r="K76" s="916" t="str">
        <f>IF(OR(J76&lt;=0,J76=""),"",SUMIF($C$38:$C$53,"*Incorrección*Cuentas por Pagar*",$I$38:$I$53)/'MATERIALIDAD PRESUPUESTAL'!$D$47)</f>
        <v/>
      </c>
      <c r="L76" s="915" t="str">
        <f>IF(OR(I76&lt;=0,I76=""),"",SUMIF($C$38:$C$53,"*Imposibilidades*Cuentas por Pagar*",$I$38:$I$53)/'MATERIALIDAD PRESUPUESTAL'!$D$47)</f>
        <v/>
      </c>
      <c r="M76" s="916" t="str">
        <f>IF(OR(I76&lt;=0,I76=""),"",SUMIF($C$38:$C$53,"*Imposibilidades*Cuentas por Pagar*",$J$38:$J$53)/'MATERIALIDAD PRESUPUESTAL'!$C$39)</f>
        <v/>
      </c>
      <c r="N76" s="754" t="str">
        <f>IF(OR(I76&lt;=0,I76=""),"",H76/'MATERIALIDAD PRESUPUESTAL'!$D$47)</f>
        <v/>
      </c>
      <c r="O76" s="917" t="str">
        <f>IF(OR(I76&lt;=0,I76=""),"",I76/'MATERIALIDAD PRESUPUESTAL'!$C$39)</f>
        <v/>
      </c>
    </row>
    <row r="77" spans="1:15" s="605" customFormat="1" ht="32.25" customHeight="1" x14ac:dyDescent="0.25">
      <c r="B77" s="1460" t="s">
        <v>520</v>
      </c>
      <c r="C77" s="1461" t="str">
        <f t="shared" si="2"/>
        <v>EFICACIA</v>
      </c>
      <c r="D77" s="1462" t="str">
        <f>IF(OR('MATERIALIDAD PRESUPUESTAL'!$C$48="",'MATERIALIDAD PRESUPUESTAL'!$D$48=""),"",K29)</f>
        <v/>
      </c>
      <c r="E77" s="1479" t="s">
        <v>1349</v>
      </c>
      <c r="F77" s="1463" t="str">
        <f>IF(OR(B77="",D77=""),"",IF(E77='LISTAS PPTO'!$V$6,D77-'LISTAS PPTO'!$X$6,IF(E77='LISTAS PPTO'!$V$7,D77-'LISTAS PPTO'!$X$7,IF(E77='LISTAS PPTO'!$V$8,D77-'LISTAS PPTO'!$X$8,IF(E77='LISTAS PPTO'!$V$9,D77-'LISTAS PPTO'!$X$9,IF(E77='LISTAS PPTO'!$V$10,D77-'LISTAS PPTO'!$X$10,IF(E77='LISTAS PPTO'!$V$11,D77-'LISTAS PPTO'!$X$11,IF(E77='LISTAS PPTO'!$V$5,D77-'LISTAS PPTO'!$X$5,IF(E77='LISTAS PPTO'!$V$4,D77-'LISTAS PPTO'!$X$4,D77)))))))))</f>
        <v/>
      </c>
      <c r="G77" s="1464" t="str">
        <f t="shared" si="1"/>
        <v/>
      </c>
      <c r="H77" s="753" t="str">
        <f>IF(OR(B77="",D77=""),"",SUMIF($D$38:$D$53,"*PASIVOS EXIGIBLES*",$I$38:$I$53))</f>
        <v/>
      </c>
      <c r="I77" s="918" t="str">
        <f>IF(OR(H77&lt;=0,H77=""),"",SUMIF($D$38:$D$53,"*PASIVOS EXIGIBLES*",$J$38:$J$53))</f>
        <v/>
      </c>
      <c r="J77" s="914" t="str">
        <f>IF(OR(I77&lt;=0,I77=""),"",SUMIF($C$38:$C$53,"*Incorrección*Pasivos*",$I$38:$I$53)/'MATERIALIDAD PRESUPUESTAL'!$D$48)</f>
        <v/>
      </c>
      <c r="K77" s="916" t="str">
        <f>IF(OR(J77&lt;=0,J77=""),"",SUMIF($C$38:$C$53,"*Incorrección*Pasivos*",$I$38:$I$53)/'MATERIALIDAD PRESUPUESTAL'!$D$48)</f>
        <v/>
      </c>
      <c r="L77" s="915" t="str">
        <f>IF(OR(I77&lt;=0,I77=""),"",SUMIF($C$38:$C$53,"*Imposibilidades*Pasivos*",$I$38:$I$53)/'MATERIALIDAD PRESUPUESTAL'!$D$48)</f>
        <v/>
      </c>
      <c r="M77" s="916" t="str">
        <f>IF(OR(I77&lt;=0,I77=""),"",SUMIF($C$38:$C$53,"*Imposibilidades*Pasivos*",$J$38:$J$53)/'MATERIALIDAD PRESUPUESTAL'!$C$39)</f>
        <v/>
      </c>
      <c r="N77" s="754" t="str">
        <f>IF(OR(I77&lt;=0,I77=""),"",H77/'MATERIALIDAD PRESUPUESTAL'!$D$48)</f>
        <v/>
      </c>
      <c r="O77" s="917" t="str">
        <f>IF(OR(I77&lt;=0,I77=""),"",I77/'MATERIALIDAD PRESUPUESTAL'!$C$39)</f>
        <v/>
      </c>
    </row>
    <row r="78" spans="1:15" s="605" customFormat="1" ht="32.25" customHeight="1" x14ac:dyDescent="0.25">
      <c r="B78" s="1460" t="s">
        <v>527</v>
      </c>
      <c r="C78" s="1461" t="str">
        <f t="shared" si="2"/>
        <v>EFICACIA</v>
      </c>
      <c r="D78" s="1462" t="str">
        <f>IF(OR('MATERIALIDAD PRESUPUESTAL'!$C$49="",'MATERIALIDAD PRESUPUESTAL'!$D$49=""),"",K30)</f>
        <v/>
      </c>
      <c r="E78" s="1479" t="s">
        <v>1349</v>
      </c>
      <c r="F78" s="1463" t="str">
        <f>IF(OR(B78="",D78=""),"",IF(E78='LISTAS PPTO'!$V$6,D78-'LISTAS PPTO'!$X$6,IF(E78='LISTAS PPTO'!$V$7,D78-'LISTAS PPTO'!$X$7,IF(E78='LISTAS PPTO'!$V$8,D78-'LISTAS PPTO'!$X$8,IF(E78='LISTAS PPTO'!$V$9,D78-'LISTAS PPTO'!$X$9,IF(E78='LISTAS PPTO'!$V$10,D78-'LISTAS PPTO'!$X$10,IF(E78='LISTAS PPTO'!$V$11,D78-'LISTAS PPTO'!$X$11,IF(E78='LISTAS PPTO'!$V$5,D78-'LISTAS PPTO'!$X$5,IF(E78='LISTAS PPTO'!$V$4,D78-'LISTAS PPTO'!$X$4,D78)))))))))</f>
        <v/>
      </c>
      <c r="G78" s="1464" t="str">
        <f t="shared" si="1"/>
        <v/>
      </c>
      <c r="H78" s="753" t="str">
        <f>IF(OR(B78="",D78=""),"",SUMIF($D$38:$D$53,"*VIGENCIAS FUTURAS*",$I$38:$I$53))</f>
        <v/>
      </c>
      <c r="I78" s="918" t="str">
        <f>IF(OR(H78&lt;=0,H78=""),"",SUMIF($D$38:$D$53,"*VIGENCIAS FUTURAS*",$J$38:$J$53))</f>
        <v/>
      </c>
      <c r="J78" s="914" t="str">
        <f>IF(OR(I78&lt;=0,I78=""),"",SUMIF($C$38:$C$53,"*Incorrección*Vigencias*",$I$38:$I$53)/'MATERIALIDAD PRESUPUESTAL'!$D$49)</f>
        <v/>
      </c>
      <c r="K78" s="916" t="str">
        <f>IF(OR(J78&lt;=0,J78=""),"",SUMIF($C$38:$C$53,"*Incorrección*Vigencias*",$I$38:$I$53)/'MATERIALIDAD PRESUPUESTAL'!$D$49)</f>
        <v/>
      </c>
      <c r="L78" s="915" t="str">
        <f>IF(OR(I78&lt;=0,I78=""),"",SUMIF($C$38:$C$53,"*Imposibilidades*Vigencias*",$I$38:$I$53)/'MATERIALIDAD PRESUPUESTAL'!$D$49)</f>
        <v/>
      </c>
      <c r="M78" s="916" t="str">
        <f>IF(OR(I78&lt;=0,I78=""),"",SUMIF($C$38:$C$53,"*Imposibilidades*Vigencias*",$J$38:$J$53)/'MATERIALIDAD PRESUPUESTAL'!$C$39)</f>
        <v/>
      </c>
      <c r="N78" s="754" t="str">
        <f>IF(OR(I78&lt;=0,I78=""),"",H78/'MATERIALIDAD PRESUPUESTAL'!$D$49)</f>
        <v/>
      </c>
      <c r="O78" s="917" t="str">
        <f>IF(OR(I78&lt;=0,I78=""),"",I78/'MATERIALIDAD PRESUPUESTAL'!$C$39)</f>
        <v/>
      </c>
    </row>
    <row r="79" spans="1:15" s="605" customFormat="1" ht="21" customHeight="1" x14ac:dyDescent="0.25">
      <c r="B79" s="2447" t="s">
        <v>1313</v>
      </c>
      <c r="C79" s="2447"/>
      <c r="D79" s="1465">
        <f>AVERAGE(D71:D78)</f>
        <v>0.82282023535482396</v>
      </c>
      <c r="E79" s="1227"/>
      <c r="F79" s="1465">
        <f>AVERAGE(F71:F78)</f>
        <v>0.82282023535482396</v>
      </c>
      <c r="G79" s="1466" t="str">
        <f>IF(F79&gt;=0.75,"EFICAZ","INEFICAZ")</f>
        <v>EFICAZ</v>
      </c>
      <c r="M79" s="1467"/>
    </row>
    <row r="80" spans="1:15" s="605" customFormat="1" x14ac:dyDescent="0.25"/>
    <row r="81" spans="2:17" s="605" customFormat="1" ht="43.5" customHeight="1" x14ac:dyDescent="0.25">
      <c r="B81" s="2408" t="s">
        <v>1314</v>
      </c>
      <c r="C81" s="2408"/>
      <c r="D81" s="2408"/>
      <c r="E81" s="2408"/>
    </row>
    <row r="82" spans="2:17" s="605" customFormat="1" x14ac:dyDescent="0.25"/>
    <row r="83" spans="2:17" s="605" customFormat="1" x14ac:dyDescent="0.25"/>
    <row r="84" spans="2:17" s="605" customFormat="1" x14ac:dyDescent="0.25"/>
    <row r="85" spans="2:17" s="605" customFormat="1" ht="33.75" customHeight="1" x14ac:dyDescent="0.25">
      <c r="C85" s="755" t="s">
        <v>1315</v>
      </c>
      <c r="D85" s="755" t="s">
        <v>537</v>
      </c>
      <c r="E85" s="755" t="s">
        <v>1646</v>
      </c>
    </row>
    <row r="86" spans="2:17" s="605" customFormat="1" ht="45" x14ac:dyDescent="0.25">
      <c r="B86" s="1468" t="s">
        <v>1316</v>
      </c>
      <c r="C86" s="1469" t="str">
        <f>IF(N71="",0,IF(O71&gt;O72,N71,N72))</f>
        <v/>
      </c>
      <c r="D86" s="1469">
        <f>IF(O71="",0,O71)</f>
        <v>2.2550000000000001E-2</v>
      </c>
      <c r="E86" s="1469">
        <f>SUM(O72,O73:O78)</f>
        <v>0</v>
      </c>
    </row>
    <row r="87" spans="2:17" s="605" customFormat="1" ht="29.25" x14ac:dyDescent="0.25">
      <c r="B87" s="1468" t="s">
        <v>1317</v>
      </c>
      <c r="C87" s="880" t="str">
        <f>IF(C86&lt;1,"SI","NO")</f>
        <v>NO</v>
      </c>
      <c r="D87" s="880" t="str">
        <f>IF(D86&lt;1,"SI","NO")</f>
        <v>SI</v>
      </c>
      <c r="E87" s="880" t="str">
        <f>IF(E86&lt;1,"SI","NO")</f>
        <v>SI</v>
      </c>
    </row>
    <row r="88" spans="2:17" s="605" customFormat="1" ht="29.25" x14ac:dyDescent="0.25">
      <c r="B88" s="1470" t="s">
        <v>1318</v>
      </c>
      <c r="C88" s="880" t="str">
        <f>IF(C86="","",IF(AND(C86&gt;=1,C86&lt;5),"SI","NO"))</f>
        <v/>
      </c>
      <c r="D88" s="880" t="str">
        <f>IF(D86="","",IF(AND(D86&gt;=1,D86&lt;5),"SI","NO"))</f>
        <v>NO</v>
      </c>
      <c r="E88" s="880" t="str">
        <f>IF(E86="","",IF(AND(E86&gt;=1,E86&lt;5),"SI","NO"))</f>
        <v>NO</v>
      </c>
    </row>
    <row r="89" spans="2:17" s="605" customFormat="1" ht="47.25" customHeight="1" x14ac:dyDescent="0.25">
      <c r="B89" s="1470" t="s">
        <v>1319</v>
      </c>
      <c r="C89" s="880" t="str">
        <f>IF(C86&gt;=5,"SI","NO")</f>
        <v>SI</v>
      </c>
      <c r="D89" s="880" t="str">
        <f>IF(D86&gt;=5,"SI","NO")</f>
        <v>NO</v>
      </c>
      <c r="E89" s="880" t="str">
        <f>IF(E86&gt;=1,"SI","NO")</f>
        <v>NO</v>
      </c>
    </row>
    <row r="90" spans="2:17" s="605" customFormat="1" ht="60" x14ac:dyDescent="0.25">
      <c r="B90" s="1470" t="s">
        <v>1320</v>
      </c>
      <c r="C90" s="1471" t="str">
        <f>IF(C86=N71,IF(L71&gt;=J71,"PREDOMINA IMPOSIBILIDADES","PREDOMINA INCORRECCIONES"),IF(C86=SUM(N72,N73:N78),IF(SUM(L72,L73:L78)&gt;=SUM(J72,J73:J78),"PREDOMINA IMPOSIBILIDADES","PREDOMINA INCORRECCIONES"),""))</f>
        <v/>
      </c>
      <c r="D90" s="1471" t="str">
        <f>IF(D86=O71,IF(M71&gt;=K71,"PREDOMINA IMPOSIBILIDADES","PREDOMINA INCORRECCIONES"),"")</f>
        <v>PREDOMINA INCORRECCIONES</v>
      </c>
      <c r="E90" s="1471" t="str">
        <f>IF(E86=SUM(O72,O73:O78),IF(SUM(M72,M73:M78)&gt;=SUM(K72,K73:K78),"PREDOMINA IMPOSIBILIDADES","PREDOMINA INCORRECCIONES"),"")</f>
        <v>PREDOMINA IMPOSIBILIDADES</v>
      </c>
    </row>
    <row r="91" spans="2:17" s="605" customFormat="1" ht="18" customHeight="1" x14ac:dyDescent="0.25">
      <c r="B91" s="758" t="s">
        <v>1321</v>
      </c>
    </row>
    <row r="92" spans="2:17" s="605" customFormat="1" x14ac:dyDescent="0.25"/>
    <row r="93" spans="2:17" s="605" customFormat="1" x14ac:dyDescent="0.25"/>
    <row r="94" spans="2:17" s="605" customFormat="1" x14ac:dyDescent="0.25"/>
    <row r="95" spans="2:17" s="605" customFormat="1" x14ac:dyDescent="0.25">
      <c r="D95" s="713"/>
      <c r="E95" s="713"/>
      <c r="F95" s="713"/>
      <c r="G95" s="757"/>
      <c r="H95" s="713"/>
    </row>
    <row r="96" spans="2:17" s="605" customFormat="1" ht="15" x14ac:dyDescent="0.25">
      <c r="B96" s="758"/>
      <c r="C96" s="759"/>
      <c r="D96" s="759"/>
      <c r="E96" s="1228"/>
      <c r="F96" s="759"/>
      <c r="G96" s="759"/>
      <c r="H96" s="1228"/>
      <c r="N96" s="1472"/>
      <c r="Q96" s="1228"/>
    </row>
    <row r="97" spans="2:17" s="605" customFormat="1" ht="39.75" customHeight="1" x14ac:dyDescent="0.25">
      <c r="C97" s="759"/>
      <c r="D97" s="759"/>
      <c r="E97" s="759"/>
      <c r="F97" s="759"/>
      <c r="G97" s="759"/>
      <c r="H97" s="1228"/>
      <c r="N97" s="1472"/>
      <c r="Q97" s="1228"/>
    </row>
    <row r="98" spans="2:17" s="605" customFormat="1" ht="15.75" thickBot="1" x14ac:dyDescent="0.3">
      <c r="C98" s="759"/>
      <c r="D98" s="759"/>
      <c r="E98" s="759"/>
      <c r="F98" s="759"/>
      <c r="I98" s="760"/>
      <c r="N98" s="1472"/>
      <c r="Q98" s="1228"/>
    </row>
    <row r="99" spans="2:17" s="605" customFormat="1" ht="39.75" customHeight="1" thickTop="1" thickBot="1" x14ac:dyDescent="0.3">
      <c r="B99" s="2448" t="s">
        <v>1644</v>
      </c>
      <c r="C99" s="2448"/>
      <c r="D99" s="1080" t="str">
        <f>IF(D71="","No Aplica",IF(D87="SI","Razonable",IF(D88="SI","Con Salvedades",IF(AND(D89="SI",D90="Predomina Incorrecciones"),"No Razonable",IF(AND(D89="SI",D90="Predomina Imposibilidades"),"Abstención","")))))</f>
        <v>Razonable</v>
      </c>
      <c r="E99" s="1473">
        <f>VLOOKUP(D99,ConceptoPresupuesto235[],2,FALSE)</f>
        <v>1</v>
      </c>
      <c r="F99" s="1081" t="s">
        <v>1322</v>
      </c>
      <c r="G99" s="1080" t="str">
        <f>+VLOOKUP(CONCATENATE(D99,D100),'FENECIMIENTO CUENTA'!F39:I64,4,0)</f>
        <v>Razonable</v>
      </c>
      <c r="I99" s="1228"/>
      <c r="N99" s="1472"/>
      <c r="Q99" s="1228"/>
    </row>
    <row r="100" spans="2:17" s="605" customFormat="1" ht="39.75" customHeight="1" thickTop="1" thickBot="1" x14ac:dyDescent="0.3">
      <c r="B100" s="2448" t="s">
        <v>1645</v>
      </c>
      <c r="C100" s="2448"/>
      <c r="D100" s="1080" t="str">
        <f>IF(D72="No Aplica","No Aplica",IF(E87="SI","Razonable",IF(E88="SI","Con Salvedades",IF(AND(E89="SI",E90="Predomina Incorrecciones"),"No Razonable",IF(AND(E89="SI",E90="Predomina Imposibilidades"),"Abstención","")))))</f>
        <v>Razonable</v>
      </c>
      <c r="E100" s="1473">
        <f>VLOOKUP(D100,ConceptoPresupuesto235[],2,FALSE)</f>
        <v>1</v>
      </c>
      <c r="F100" s="1081" t="s">
        <v>1323</v>
      </c>
      <c r="G100" s="1473">
        <f>VLOOKUP(G99,ConceptoPresupuesto235[],2,FALSE)</f>
        <v>1</v>
      </c>
      <c r="I100" s="1228"/>
      <c r="N100" s="1472"/>
      <c r="Q100" s="1474"/>
    </row>
    <row r="101" spans="2:17" s="605" customFormat="1" ht="15.75" thickTop="1" x14ac:dyDescent="0.25">
      <c r="H101" s="99"/>
      <c r="I101" s="99"/>
      <c r="J101" s="99"/>
      <c r="K101" s="99"/>
    </row>
    <row r="102" spans="2:17" s="605" customFormat="1" ht="27" customHeight="1" x14ac:dyDescent="0.25">
      <c r="B102" s="2449" t="s">
        <v>1633</v>
      </c>
      <c r="C102" s="2450"/>
      <c r="D102" s="2450"/>
      <c r="E102" s="2450"/>
      <c r="F102" s="2450"/>
      <c r="G102" s="2451"/>
    </row>
    <row r="103" spans="2:17" s="605" customFormat="1" ht="48" customHeight="1" thickBot="1" x14ac:dyDescent="0.3">
      <c r="B103" s="1475" t="s">
        <v>1634</v>
      </c>
      <c r="C103" s="1475" t="s">
        <v>951</v>
      </c>
      <c r="D103" s="1475" t="s">
        <v>952</v>
      </c>
      <c r="E103" s="1475" t="s">
        <v>953</v>
      </c>
      <c r="F103" s="1475" t="s">
        <v>1324</v>
      </c>
      <c r="G103" s="1475" t="s">
        <v>955</v>
      </c>
    </row>
    <row r="104" spans="2:17" s="605" customFormat="1" ht="99.75" customHeight="1" thickBot="1" x14ac:dyDescent="0.3">
      <c r="B104" s="1476" t="s">
        <v>1620</v>
      </c>
      <c r="C104" s="1476" t="s">
        <v>1325</v>
      </c>
      <c r="D104" s="1476" t="s">
        <v>1326</v>
      </c>
      <c r="E104" s="1476" t="s">
        <v>1327</v>
      </c>
      <c r="F104" s="1477">
        <v>100</v>
      </c>
      <c r="G104" s="1477" t="s">
        <v>499</v>
      </c>
    </row>
    <row r="105" spans="2:17" s="605" customFormat="1" ht="96.75" customHeight="1" thickBot="1" x14ac:dyDescent="0.3">
      <c r="B105" s="1476" t="s">
        <v>960</v>
      </c>
      <c r="C105" s="1476" t="s">
        <v>1328</v>
      </c>
      <c r="D105" s="1476" t="s">
        <v>1329</v>
      </c>
      <c r="E105" s="1476" t="s">
        <v>1330</v>
      </c>
      <c r="F105" s="1477">
        <v>75</v>
      </c>
      <c r="G105" s="1477" t="s">
        <v>499</v>
      </c>
    </row>
    <row r="106" spans="2:17" s="605" customFormat="1" ht="91.9" customHeight="1" thickBot="1" x14ac:dyDescent="0.3">
      <c r="B106" s="1476" t="s">
        <v>1621</v>
      </c>
      <c r="C106" s="1478" t="s">
        <v>1331</v>
      </c>
      <c r="D106" s="1478" t="s">
        <v>1331</v>
      </c>
      <c r="E106" s="1478" t="s">
        <v>1332</v>
      </c>
      <c r="F106" s="1477">
        <v>0</v>
      </c>
      <c r="G106" s="1477" t="s">
        <v>514</v>
      </c>
    </row>
    <row r="107" spans="2:17" s="605" customFormat="1" ht="138" customHeight="1" thickBot="1" x14ac:dyDescent="0.3">
      <c r="B107" s="1476" t="s">
        <v>518</v>
      </c>
      <c r="C107" s="1477"/>
      <c r="D107" s="1478" t="s">
        <v>1333</v>
      </c>
      <c r="E107" s="1478" t="s">
        <v>1334</v>
      </c>
      <c r="F107" s="1477">
        <v>0</v>
      </c>
      <c r="G107" s="1477" t="s">
        <v>514</v>
      </c>
    </row>
    <row r="108" spans="2:17" s="605" customFormat="1" x14ac:dyDescent="0.25"/>
    <row r="109" spans="2:17" s="605" customFormat="1" ht="15" thickBot="1" x14ac:dyDescent="0.3"/>
    <row r="110" spans="2:17" s="605" customFormat="1" x14ac:dyDescent="0.25">
      <c r="B110" s="2232" t="s">
        <v>670</v>
      </c>
      <c r="C110" s="2234"/>
      <c r="D110" s="2234"/>
      <c r="E110" s="2235"/>
    </row>
    <row r="111" spans="2:17" s="605" customFormat="1" ht="89.25" customHeight="1" thickBot="1" x14ac:dyDescent="0.3">
      <c r="B111" s="2233"/>
      <c r="C111" s="2236"/>
      <c r="D111" s="2236"/>
      <c r="E111" s="2237"/>
    </row>
    <row r="112" spans="2:17" s="605" customFormat="1" ht="15" thickBot="1" x14ac:dyDescent="0.3">
      <c r="B112" s="606"/>
      <c r="C112" s="712" t="s">
        <v>828</v>
      </c>
      <c r="D112" s="712" t="s">
        <v>1335</v>
      </c>
      <c r="E112" s="606"/>
    </row>
    <row r="113" spans="2:5" s="605" customFormat="1" ht="47.25" customHeight="1" x14ac:dyDescent="0.25">
      <c r="B113" s="2230" t="s">
        <v>671</v>
      </c>
      <c r="C113" s="1328"/>
      <c r="D113" s="1329"/>
      <c r="E113" s="606"/>
    </row>
    <row r="114" spans="2:5" s="605" customFormat="1" ht="51" customHeight="1" x14ac:dyDescent="0.25">
      <c r="B114" s="2231"/>
      <c r="C114" s="1330"/>
      <c r="D114" s="1331"/>
      <c r="E114" s="606"/>
    </row>
    <row r="115" spans="2:5" s="605" customFormat="1" ht="65.25" customHeight="1" thickBot="1" x14ac:dyDescent="0.3">
      <c r="B115" s="2231"/>
      <c r="C115" s="1332"/>
      <c r="D115" s="1333"/>
      <c r="E115" s="606"/>
    </row>
    <row r="116" spans="2:5" s="605" customFormat="1" ht="38.25" customHeight="1" x14ac:dyDescent="0.25">
      <c r="B116" s="1894" t="s">
        <v>1336</v>
      </c>
      <c r="C116" s="1334"/>
      <c r="D116" s="1329"/>
      <c r="E116" s="606"/>
    </row>
    <row r="117" spans="2:5" s="605" customFormat="1" ht="30.75" customHeight="1" x14ac:dyDescent="0.25">
      <c r="B117" s="1895"/>
      <c r="C117" s="1335"/>
      <c r="D117" s="1331"/>
      <c r="E117" s="606"/>
    </row>
    <row r="118" spans="2:5" s="605" customFormat="1" ht="45" customHeight="1" thickBot="1" x14ac:dyDescent="0.3">
      <c r="B118" s="1896"/>
      <c r="C118" s="1336"/>
      <c r="D118" s="1337"/>
      <c r="E118" s="606"/>
    </row>
    <row r="119" spans="2:5" s="605" customFormat="1" ht="49.5" customHeight="1" thickBot="1" x14ac:dyDescent="0.3">
      <c r="B119" s="1338" t="s">
        <v>1337</v>
      </c>
      <c r="C119" s="1339"/>
      <c r="D119" s="1340"/>
      <c r="E119" s="606"/>
    </row>
    <row r="120" spans="2:5" s="605" customFormat="1" ht="56.25" customHeight="1" thickBot="1" x14ac:dyDescent="0.3">
      <c r="B120" s="1341" t="s">
        <v>672</v>
      </c>
      <c r="C120" s="1342"/>
      <c r="D120" s="1343"/>
      <c r="E120" s="606"/>
    </row>
    <row r="121" spans="2:5" s="605" customFormat="1" x14ac:dyDescent="0.25"/>
  </sheetData>
  <sheetProtection algorithmName="SHA-512" hashValue="98RrlFK1mvNFAehgT5bzy2Lr4zAlntg8yNaq1JQ6yHAAhL+UyXL62m6UsjG3sgYp1NCD4Cb9F31xWvUhvH1v+w==" saltValue="nwqmgknt4EZ0EiqmlIlvxg==" spinCount="100000" sheet="1" pivotTables="0"/>
  <protectedRanges>
    <protectedRange sqref="C34 C21:C28" name="Rango6_1"/>
    <protectedRange sqref="C29 D34 E23:F28" name="Rango4_1"/>
    <protectedRange sqref="E34:F34 E29:F29 E21:F22" name="Rango3_1"/>
    <protectedRange sqref="K21:K35" name="Rango2_1"/>
    <protectedRange sqref="D25" name="Rango4"/>
    <protectedRange sqref="D21:D24" name="Rango4_2"/>
    <protectedRange sqref="D26:D31" name="Rango4_3"/>
  </protectedRanges>
  <mergeCells count="68">
    <mergeCell ref="B113:B115"/>
    <mergeCell ref="B116:B118"/>
    <mergeCell ref="B79:C79"/>
    <mergeCell ref="B81:E81"/>
    <mergeCell ref="B99:C99"/>
    <mergeCell ref="B100:C100"/>
    <mergeCell ref="B102:G102"/>
    <mergeCell ref="B110:B111"/>
    <mergeCell ref="C110:E111"/>
    <mergeCell ref="A57:I65"/>
    <mergeCell ref="B66:E66"/>
    <mergeCell ref="J68:K68"/>
    <mergeCell ref="L68:M68"/>
    <mergeCell ref="B69:G69"/>
    <mergeCell ref="J69:K69"/>
    <mergeCell ref="L69:M69"/>
    <mergeCell ref="A54:H54"/>
    <mergeCell ref="E43:F43"/>
    <mergeCell ref="E44:F44"/>
    <mergeCell ref="E45:F45"/>
    <mergeCell ref="E46:F46"/>
    <mergeCell ref="E47:F47"/>
    <mergeCell ref="E48:F48"/>
    <mergeCell ref="E49:F49"/>
    <mergeCell ref="E50:F50"/>
    <mergeCell ref="E51:F51"/>
    <mergeCell ref="E52:F52"/>
    <mergeCell ref="E53:F53"/>
    <mergeCell ref="E42:F42"/>
    <mergeCell ref="H21:H30"/>
    <mergeCell ref="J21:J30"/>
    <mergeCell ref="I27:I28"/>
    <mergeCell ref="B33:E33"/>
    <mergeCell ref="B34:C34"/>
    <mergeCell ref="A35:N35"/>
    <mergeCell ref="E37:F37"/>
    <mergeCell ref="E38:F38"/>
    <mergeCell ref="E39:F39"/>
    <mergeCell ref="E40:F40"/>
    <mergeCell ref="E41:F41"/>
    <mergeCell ref="J19:J20"/>
    <mergeCell ref="K19:K20"/>
    <mergeCell ref="A17:K17"/>
    <mergeCell ref="A10:B10"/>
    <mergeCell ref="C10:D10"/>
    <mergeCell ref="G10:H10"/>
    <mergeCell ref="A11:B11"/>
    <mergeCell ref="C11:D11"/>
    <mergeCell ref="G11:H11"/>
    <mergeCell ref="A19:A20"/>
    <mergeCell ref="B19:F19"/>
    <mergeCell ref="G19:G20"/>
    <mergeCell ref="H19:H20"/>
    <mergeCell ref="I19:I20"/>
    <mergeCell ref="A6:H6"/>
    <mergeCell ref="A7:H7"/>
    <mergeCell ref="A8:B8"/>
    <mergeCell ref="C8:D8"/>
    <mergeCell ref="A9:B9"/>
    <mergeCell ref="C9:D9"/>
    <mergeCell ref="G9:H9"/>
    <mergeCell ref="G8:H8"/>
    <mergeCell ref="A5:H5"/>
    <mergeCell ref="A1:I1"/>
    <mergeCell ref="A2:B3"/>
    <mergeCell ref="K2:K3"/>
    <mergeCell ref="A4:H4"/>
    <mergeCell ref="C2:J3"/>
  </mergeCells>
  <conditionalFormatting sqref="D99">
    <cfRule type="expression" dxfId="144" priority="27">
      <formula>$D$99="Abstención"</formula>
    </cfRule>
    <cfRule type="expression" dxfId="143" priority="28">
      <formula>$D$99="No Razonable"</formula>
    </cfRule>
    <cfRule type="expression" dxfId="142" priority="29">
      <formula>$D$99="Con Salvedades"</formula>
    </cfRule>
    <cfRule type="expression" dxfId="141" priority="30">
      <formula>$D$99="Razonable"</formula>
    </cfRule>
  </conditionalFormatting>
  <conditionalFormatting sqref="D100">
    <cfRule type="expression" dxfId="140" priority="23">
      <formula>$D$100="Abstención"</formula>
    </cfRule>
    <cfRule type="expression" dxfId="139" priority="24">
      <formula>$D$100="No Razonable"</formula>
    </cfRule>
    <cfRule type="expression" dxfId="138" priority="25">
      <formula>$D$100="Con Salvedades"</formula>
    </cfRule>
    <cfRule type="expression" dxfId="137" priority="26">
      <formula>$D$100="Razonable"</formula>
    </cfRule>
  </conditionalFormatting>
  <conditionalFormatting sqref="G99">
    <cfRule type="expression" dxfId="136" priority="3">
      <formula>$D$99="Abstención"</formula>
    </cfRule>
    <cfRule type="containsText" dxfId="135" priority="4" operator="containsText" text="No Razonable">
      <formula>NOT(ISERROR(SEARCH("No Razonable",G99)))</formula>
    </cfRule>
    <cfRule type="containsText" dxfId="134" priority="5" operator="containsText" text="Con Salvedades">
      <formula>NOT(ISERROR(SEARCH("Con Salvedades",G99)))</formula>
    </cfRule>
    <cfRule type="expression" dxfId="133" priority="6">
      <formula>$D$99="Razonable"</formula>
    </cfRule>
  </conditionalFormatting>
  <conditionalFormatting sqref="H13">
    <cfRule type="cellIs" dxfId="132" priority="31" operator="equal">
      <formula>"INEXISTENTE"</formula>
    </cfRule>
    <cfRule type="cellIs" dxfId="131" priority="32" operator="equal">
      <formula>"INADECUADO"</formula>
    </cfRule>
    <cfRule type="cellIs" dxfId="130" priority="33" operator="equal">
      <formula>"PARCIALMENTE ADECUADO"</formula>
    </cfRule>
    <cfRule type="cellIs" dxfId="129" priority="34" operator="equal">
      <formula>"ADECUADO"</formula>
    </cfRule>
    <cfRule type="cellIs" dxfId="128" priority="35" operator="equal">
      <formula>"ERROR"</formula>
    </cfRule>
  </conditionalFormatting>
  <conditionalFormatting sqref="A2 C2">
    <cfRule type="cellIs" dxfId="127" priority="1" operator="equal">
      <formula>"ERROR"</formula>
    </cfRule>
  </conditionalFormatting>
  <dataValidations count="2">
    <dataValidation type="list" allowBlank="1" showInputMessage="1" showErrorMessage="1" sqref="L56">
      <formula1>#REF!</formula1>
    </dataValidation>
    <dataValidation type="custom" allowBlank="1" showInputMessage="1" showErrorMessage="1" sqref="K31:K33 K21:K26 K29">
      <formula1>#REF!&lt;=100%</formula1>
    </dataValidation>
  </dataValidations>
  <pageMargins left="0.7" right="0.7" top="0.75" bottom="0.75" header="0.3" footer="0.3"/>
  <pageSetup orientation="portrait" r:id="rId1"/>
  <ignoredErrors>
    <ignoredError sqref="H11 H9 H10"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[5]LISTAS!#REF!</xm:f>
          </x14:formula1>
          <xm:sqref>L54</xm:sqref>
        </x14:dataValidation>
        <x14:dataValidation type="list" allowBlank="1" showInputMessage="1" showErrorMessage="1">
          <x14:formula1>
            <xm:f>'LISTAS PPTO'!$T$3:$T$10</xm:f>
          </x14:formula1>
          <xm:sqref>D38:D53</xm:sqref>
        </x14:dataValidation>
        <x14:dataValidation type="list" allowBlank="1" showInputMessage="1" showErrorMessage="1">
          <x14:formula1>
            <xm:f>'LISTAS PPTO'!$AJ$4:$AJ$77</xm:f>
          </x14:formula1>
          <xm:sqref>E38:F53</xm:sqref>
        </x14:dataValidation>
        <x14:dataValidation type="list" allowBlank="1" showInputMessage="1" showErrorMessage="1">
          <x14:formula1>
            <xm:f>'LISTAS PPTO'!$U$3:$U$22</xm:f>
          </x14:formula1>
          <xm:sqref>G38:G53</xm:sqref>
        </x14:dataValidation>
        <x14:dataValidation type="list" allowBlank="1" showInputMessage="1" showErrorMessage="1">
          <x14:formula1>
            <xm:f>'LISTAS PPTO'!$W$3:$W$13</xm:f>
          </x14:formula1>
          <xm:sqref>H38:H53</xm:sqref>
        </x14:dataValidation>
        <x14:dataValidation type="list" allowBlank="1" showInputMessage="1" showErrorMessage="1">
          <x14:formula1>
            <xm:f>'LISTAS PPTO'!$V$3:$V$11</xm:f>
          </x14:formula1>
          <xm:sqref>E71:E78 M38:M53</xm:sqref>
        </x14:dataValidation>
        <x14:dataValidation type="list" allowBlank="1" showInputMessage="1" showErrorMessage="1">
          <x14:formula1>
            <xm:f>'LISTAS PPTO'!$S$3:$S$26</xm:f>
          </x14:formula1>
          <xm:sqref>C38:C53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W622"/>
  <sheetViews>
    <sheetView zoomScaleNormal="100" workbookViewId="0">
      <selection activeCell="A2" sqref="A2"/>
    </sheetView>
  </sheetViews>
  <sheetFormatPr baseColWidth="10" defaultRowHeight="15" x14ac:dyDescent="0.2"/>
  <cols>
    <col min="1" max="1" width="5.42578125" style="1010" customWidth="1"/>
    <col min="2" max="2" width="27.28515625" style="1061" customWidth="1"/>
    <col min="3" max="3" width="31.28515625" style="1061" customWidth="1"/>
    <col min="4" max="4" width="37.7109375" style="999" customWidth="1"/>
    <col min="5" max="5" width="40" style="999" customWidth="1"/>
    <col min="6" max="6" width="21.28515625" style="999" customWidth="1"/>
    <col min="7" max="7" width="14.85546875" style="999" customWidth="1"/>
    <col min="8" max="9" width="18.140625" style="999" customWidth="1"/>
    <col min="10" max="10" width="15.42578125" style="999" customWidth="1"/>
    <col min="11" max="11" width="17.85546875" style="1059" customWidth="1"/>
    <col min="12" max="12" width="15.140625" style="1061" customWidth="1"/>
    <col min="13" max="13" width="15.42578125" style="1061" customWidth="1"/>
    <col min="14" max="14" width="15.7109375" style="1059" customWidth="1"/>
    <col min="15" max="15" width="16.42578125" style="1061" customWidth="1"/>
    <col min="16" max="16" width="15.42578125" style="1061" customWidth="1"/>
    <col min="17" max="17" width="14.7109375" style="1061" customWidth="1"/>
    <col min="18" max="18" width="14.28515625" style="1061" customWidth="1"/>
    <col min="19" max="19" width="15.42578125" style="1061" customWidth="1"/>
    <col min="20" max="20" width="16" style="1062" customWidth="1"/>
    <col min="21" max="21" width="16" style="1061" customWidth="1"/>
    <col min="22" max="22" width="15" style="1061" customWidth="1"/>
    <col min="23" max="23" width="21.42578125" style="1064" customWidth="1"/>
    <col min="24" max="256" width="11.5703125" style="1010"/>
    <col min="257" max="257" width="5.42578125" style="1010" customWidth="1"/>
    <col min="258" max="258" width="34.42578125" style="1010" customWidth="1"/>
    <col min="259" max="259" width="27.7109375" style="1010" customWidth="1"/>
    <col min="260" max="260" width="18.140625" style="1010" customWidth="1"/>
    <col min="261" max="261" width="24" style="1010" customWidth="1"/>
    <col min="262" max="262" width="16" style="1010" customWidth="1"/>
    <col min="263" max="263" width="16.140625" style="1010" customWidth="1"/>
    <col min="264" max="264" width="15.7109375" style="1010" customWidth="1"/>
    <col min="265" max="265" width="17.42578125" style="1010" customWidth="1"/>
    <col min="266" max="267" width="16.7109375" style="1010" customWidth="1"/>
    <col min="268" max="268" width="13.140625" style="1010" customWidth="1"/>
    <col min="269" max="269" width="14" style="1010" customWidth="1"/>
    <col min="270" max="270" width="17.28515625" style="1010" customWidth="1"/>
    <col min="271" max="271" width="16.42578125" style="1010" customWidth="1"/>
    <col min="272" max="273" width="15.42578125" style="1010" customWidth="1"/>
    <col min="274" max="274" width="25.7109375" style="1010" customWidth="1"/>
    <col min="275" max="275" width="31.7109375" style="1010" customWidth="1"/>
    <col min="276" max="276" width="34.140625" style="1010" customWidth="1"/>
    <col min="277" max="277" width="37.7109375" style="1010" customWidth="1"/>
    <col min="278" max="278" width="48.7109375" style="1010" customWidth="1"/>
    <col min="279" max="279" width="29.42578125" style="1010" customWidth="1"/>
    <col min="280" max="512" width="11.5703125" style="1010"/>
    <col min="513" max="513" width="5.42578125" style="1010" customWidth="1"/>
    <col min="514" max="514" width="34.42578125" style="1010" customWidth="1"/>
    <col min="515" max="515" width="27.7109375" style="1010" customWidth="1"/>
    <col min="516" max="516" width="18.140625" style="1010" customWidth="1"/>
    <col min="517" max="517" width="24" style="1010" customWidth="1"/>
    <col min="518" max="518" width="16" style="1010" customWidth="1"/>
    <col min="519" max="519" width="16.140625" style="1010" customWidth="1"/>
    <col min="520" max="520" width="15.7109375" style="1010" customWidth="1"/>
    <col min="521" max="521" width="17.42578125" style="1010" customWidth="1"/>
    <col min="522" max="523" width="16.7109375" style="1010" customWidth="1"/>
    <col min="524" max="524" width="13.140625" style="1010" customWidth="1"/>
    <col min="525" max="525" width="14" style="1010" customWidth="1"/>
    <col min="526" max="526" width="17.28515625" style="1010" customWidth="1"/>
    <col min="527" max="527" width="16.42578125" style="1010" customWidth="1"/>
    <col min="528" max="529" width="15.42578125" style="1010" customWidth="1"/>
    <col min="530" max="530" width="25.7109375" style="1010" customWidth="1"/>
    <col min="531" max="531" width="31.7109375" style="1010" customWidth="1"/>
    <col min="532" max="532" width="34.140625" style="1010" customWidth="1"/>
    <col min="533" max="533" width="37.7109375" style="1010" customWidth="1"/>
    <col min="534" max="534" width="48.7109375" style="1010" customWidth="1"/>
    <col min="535" max="535" width="29.42578125" style="1010" customWidth="1"/>
    <col min="536" max="768" width="11.5703125" style="1010"/>
    <col min="769" max="769" width="5.42578125" style="1010" customWidth="1"/>
    <col min="770" max="770" width="34.42578125" style="1010" customWidth="1"/>
    <col min="771" max="771" width="27.7109375" style="1010" customWidth="1"/>
    <col min="772" max="772" width="18.140625" style="1010" customWidth="1"/>
    <col min="773" max="773" width="24" style="1010" customWidth="1"/>
    <col min="774" max="774" width="16" style="1010" customWidth="1"/>
    <col min="775" max="775" width="16.140625" style="1010" customWidth="1"/>
    <col min="776" max="776" width="15.7109375" style="1010" customWidth="1"/>
    <col min="777" max="777" width="17.42578125" style="1010" customWidth="1"/>
    <col min="778" max="779" width="16.7109375" style="1010" customWidth="1"/>
    <col min="780" max="780" width="13.140625" style="1010" customWidth="1"/>
    <col min="781" max="781" width="14" style="1010" customWidth="1"/>
    <col min="782" max="782" width="17.28515625" style="1010" customWidth="1"/>
    <col min="783" max="783" width="16.42578125" style="1010" customWidth="1"/>
    <col min="784" max="785" width="15.42578125" style="1010" customWidth="1"/>
    <col min="786" max="786" width="25.7109375" style="1010" customWidth="1"/>
    <col min="787" max="787" width="31.7109375" style="1010" customWidth="1"/>
    <col min="788" max="788" width="34.140625" style="1010" customWidth="1"/>
    <col min="789" max="789" width="37.7109375" style="1010" customWidth="1"/>
    <col min="790" max="790" width="48.7109375" style="1010" customWidth="1"/>
    <col min="791" max="791" width="29.42578125" style="1010" customWidth="1"/>
    <col min="792" max="1024" width="11.5703125" style="1010"/>
    <col min="1025" max="1025" width="5.42578125" style="1010" customWidth="1"/>
    <col min="1026" max="1026" width="34.42578125" style="1010" customWidth="1"/>
    <col min="1027" max="1027" width="27.7109375" style="1010" customWidth="1"/>
    <col min="1028" max="1028" width="18.140625" style="1010" customWidth="1"/>
    <col min="1029" max="1029" width="24" style="1010" customWidth="1"/>
    <col min="1030" max="1030" width="16" style="1010" customWidth="1"/>
    <col min="1031" max="1031" width="16.140625" style="1010" customWidth="1"/>
    <col min="1032" max="1032" width="15.7109375" style="1010" customWidth="1"/>
    <col min="1033" max="1033" width="17.42578125" style="1010" customWidth="1"/>
    <col min="1034" max="1035" width="16.7109375" style="1010" customWidth="1"/>
    <col min="1036" max="1036" width="13.140625" style="1010" customWidth="1"/>
    <col min="1037" max="1037" width="14" style="1010" customWidth="1"/>
    <col min="1038" max="1038" width="17.28515625" style="1010" customWidth="1"/>
    <col min="1039" max="1039" width="16.42578125" style="1010" customWidth="1"/>
    <col min="1040" max="1041" width="15.42578125" style="1010" customWidth="1"/>
    <col min="1042" max="1042" width="25.7109375" style="1010" customWidth="1"/>
    <col min="1043" max="1043" width="31.7109375" style="1010" customWidth="1"/>
    <col min="1044" max="1044" width="34.140625" style="1010" customWidth="1"/>
    <col min="1045" max="1045" width="37.7109375" style="1010" customWidth="1"/>
    <col min="1046" max="1046" width="48.7109375" style="1010" customWidth="1"/>
    <col min="1047" max="1047" width="29.42578125" style="1010" customWidth="1"/>
    <col min="1048" max="1280" width="11.5703125" style="1010"/>
    <col min="1281" max="1281" width="5.42578125" style="1010" customWidth="1"/>
    <col min="1282" max="1282" width="34.42578125" style="1010" customWidth="1"/>
    <col min="1283" max="1283" width="27.7109375" style="1010" customWidth="1"/>
    <col min="1284" max="1284" width="18.140625" style="1010" customWidth="1"/>
    <col min="1285" max="1285" width="24" style="1010" customWidth="1"/>
    <col min="1286" max="1286" width="16" style="1010" customWidth="1"/>
    <col min="1287" max="1287" width="16.140625" style="1010" customWidth="1"/>
    <col min="1288" max="1288" width="15.7109375" style="1010" customWidth="1"/>
    <col min="1289" max="1289" width="17.42578125" style="1010" customWidth="1"/>
    <col min="1290" max="1291" width="16.7109375" style="1010" customWidth="1"/>
    <col min="1292" max="1292" width="13.140625" style="1010" customWidth="1"/>
    <col min="1293" max="1293" width="14" style="1010" customWidth="1"/>
    <col min="1294" max="1294" width="17.28515625" style="1010" customWidth="1"/>
    <col min="1295" max="1295" width="16.42578125" style="1010" customWidth="1"/>
    <col min="1296" max="1297" width="15.42578125" style="1010" customWidth="1"/>
    <col min="1298" max="1298" width="25.7109375" style="1010" customWidth="1"/>
    <col min="1299" max="1299" width="31.7109375" style="1010" customWidth="1"/>
    <col min="1300" max="1300" width="34.140625" style="1010" customWidth="1"/>
    <col min="1301" max="1301" width="37.7109375" style="1010" customWidth="1"/>
    <col min="1302" max="1302" width="48.7109375" style="1010" customWidth="1"/>
    <col min="1303" max="1303" width="29.42578125" style="1010" customWidth="1"/>
    <col min="1304" max="1536" width="11.5703125" style="1010"/>
    <col min="1537" max="1537" width="5.42578125" style="1010" customWidth="1"/>
    <col min="1538" max="1538" width="34.42578125" style="1010" customWidth="1"/>
    <col min="1539" max="1539" width="27.7109375" style="1010" customWidth="1"/>
    <col min="1540" max="1540" width="18.140625" style="1010" customWidth="1"/>
    <col min="1541" max="1541" width="24" style="1010" customWidth="1"/>
    <col min="1542" max="1542" width="16" style="1010" customWidth="1"/>
    <col min="1543" max="1543" width="16.140625" style="1010" customWidth="1"/>
    <col min="1544" max="1544" width="15.7109375" style="1010" customWidth="1"/>
    <col min="1545" max="1545" width="17.42578125" style="1010" customWidth="1"/>
    <col min="1546" max="1547" width="16.7109375" style="1010" customWidth="1"/>
    <col min="1548" max="1548" width="13.140625" style="1010" customWidth="1"/>
    <col min="1549" max="1549" width="14" style="1010" customWidth="1"/>
    <col min="1550" max="1550" width="17.28515625" style="1010" customWidth="1"/>
    <col min="1551" max="1551" width="16.42578125" style="1010" customWidth="1"/>
    <col min="1552" max="1553" width="15.42578125" style="1010" customWidth="1"/>
    <col min="1554" max="1554" width="25.7109375" style="1010" customWidth="1"/>
    <col min="1555" max="1555" width="31.7109375" style="1010" customWidth="1"/>
    <col min="1556" max="1556" width="34.140625" style="1010" customWidth="1"/>
    <col min="1557" max="1557" width="37.7109375" style="1010" customWidth="1"/>
    <col min="1558" max="1558" width="48.7109375" style="1010" customWidth="1"/>
    <col min="1559" max="1559" width="29.42578125" style="1010" customWidth="1"/>
    <col min="1560" max="1792" width="11.5703125" style="1010"/>
    <col min="1793" max="1793" width="5.42578125" style="1010" customWidth="1"/>
    <col min="1794" max="1794" width="34.42578125" style="1010" customWidth="1"/>
    <col min="1795" max="1795" width="27.7109375" style="1010" customWidth="1"/>
    <col min="1796" max="1796" width="18.140625" style="1010" customWidth="1"/>
    <col min="1797" max="1797" width="24" style="1010" customWidth="1"/>
    <col min="1798" max="1798" width="16" style="1010" customWidth="1"/>
    <col min="1799" max="1799" width="16.140625" style="1010" customWidth="1"/>
    <col min="1800" max="1800" width="15.7109375" style="1010" customWidth="1"/>
    <col min="1801" max="1801" width="17.42578125" style="1010" customWidth="1"/>
    <col min="1802" max="1803" width="16.7109375" style="1010" customWidth="1"/>
    <col min="1804" max="1804" width="13.140625" style="1010" customWidth="1"/>
    <col min="1805" max="1805" width="14" style="1010" customWidth="1"/>
    <col min="1806" max="1806" width="17.28515625" style="1010" customWidth="1"/>
    <col min="1807" max="1807" width="16.42578125" style="1010" customWidth="1"/>
    <col min="1808" max="1809" width="15.42578125" style="1010" customWidth="1"/>
    <col min="1810" max="1810" width="25.7109375" style="1010" customWidth="1"/>
    <col min="1811" max="1811" width="31.7109375" style="1010" customWidth="1"/>
    <col min="1812" max="1812" width="34.140625" style="1010" customWidth="1"/>
    <col min="1813" max="1813" width="37.7109375" style="1010" customWidth="1"/>
    <col min="1814" max="1814" width="48.7109375" style="1010" customWidth="1"/>
    <col min="1815" max="1815" width="29.42578125" style="1010" customWidth="1"/>
    <col min="1816" max="2048" width="11.5703125" style="1010"/>
    <col min="2049" max="2049" width="5.42578125" style="1010" customWidth="1"/>
    <col min="2050" max="2050" width="34.42578125" style="1010" customWidth="1"/>
    <col min="2051" max="2051" width="27.7109375" style="1010" customWidth="1"/>
    <col min="2052" max="2052" width="18.140625" style="1010" customWidth="1"/>
    <col min="2053" max="2053" width="24" style="1010" customWidth="1"/>
    <col min="2054" max="2054" width="16" style="1010" customWidth="1"/>
    <col min="2055" max="2055" width="16.140625" style="1010" customWidth="1"/>
    <col min="2056" max="2056" width="15.7109375" style="1010" customWidth="1"/>
    <col min="2057" max="2057" width="17.42578125" style="1010" customWidth="1"/>
    <col min="2058" max="2059" width="16.7109375" style="1010" customWidth="1"/>
    <col min="2060" max="2060" width="13.140625" style="1010" customWidth="1"/>
    <col min="2061" max="2061" width="14" style="1010" customWidth="1"/>
    <col min="2062" max="2062" width="17.28515625" style="1010" customWidth="1"/>
    <col min="2063" max="2063" width="16.42578125" style="1010" customWidth="1"/>
    <col min="2064" max="2065" width="15.42578125" style="1010" customWidth="1"/>
    <col min="2066" max="2066" width="25.7109375" style="1010" customWidth="1"/>
    <col min="2067" max="2067" width="31.7109375" style="1010" customWidth="1"/>
    <col min="2068" max="2068" width="34.140625" style="1010" customWidth="1"/>
    <col min="2069" max="2069" width="37.7109375" style="1010" customWidth="1"/>
    <col min="2070" max="2070" width="48.7109375" style="1010" customWidth="1"/>
    <col min="2071" max="2071" width="29.42578125" style="1010" customWidth="1"/>
    <col min="2072" max="2304" width="11.5703125" style="1010"/>
    <col min="2305" max="2305" width="5.42578125" style="1010" customWidth="1"/>
    <col min="2306" max="2306" width="34.42578125" style="1010" customWidth="1"/>
    <col min="2307" max="2307" width="27.7109375" style="1010" customWidth="1"/>
    <col min="2308" max="2308" width="18.140625" style="1010" customWidth="1"/>
    <col min="2309" max="2309" width="24" style="1010" customWidth="1"/>
    <col min="2310" max="2310" width="16" style="1010" customWidth="1"/>
    <col min="2311" max="2311" width="16.140625" style="1010" customWidth="1"/>
    <col min="2312" max="2312" width="15.7109375" style="1010" customWidth="1"/>
    <col min="2313" max="2313" width="17.42578125" style="1010" customWidth="1"/>
    <col min="2314" max="2315" width="16.7109375" style="1010" customWidth="1"/>
    <col min="2316" max="2316" width="13.140625" style="1010" customWidth="1"/>
    <col min="2317" max="2317" width="14" style="1010" customWidth="1"/>
    <col min="2318" max="2318" width="17.28515625" style="1010" customWidth="1"/>
    <col min="2319" max="2319" width="16.42578125" style="1010" customWidth="1"/>
    <col min="2320" max="2321" width="15.42578125" style="1010" customWidth="1"/>
    <col min="2322" max="2322" width="25.7109375" style="1010" customWidth="1"/>
    <col min="2323" max="2323" width="31.7109375" style="1010" customWidth="1"/>
    <col min="2324" max="2324" width="34.140625" style="1010" customWidth="1"/>
    <col min="2325" max="2325" width="37.7109375" style="1010" customWidth="1"/>
    <col min="2326" max="2326" width="48.7109375" style="1010" customWidth="1"/>
    <col min="2327" max="2327" width="29.42578125" style="1010" customWidth="1"/>
    <col min="2328" max="2560" width="11.5703125" style="1010"/>
    <col min="2561" max="2561" width="5.42578125" style="1010" customWidth="1"/>
    <col min="2562" max="2562" width="34.42578125" style="1010" customWidth="1"/>
    <col min="2563" max="2563" width="27.7109375" style="1010" customWidth="1"/>
    <col min="2564" max="2564" width="18.140625" style="1010" customWidth="1"/>
    <col min="2565" max="2565" width="24" style="1010" customWidth="1"/>
    <col min="2566" max="2566" width="16" style="1010" customWidth="1"/>
    <col min="2567" max="2567" width="16.140625" style="1010" customWidth="1"/>
    <col min="2568" max="2568" width="15.7109375" style="1010" customWidth="1"/>
    <col min="2569" max="2569" width="17.42578125" style="1010" customWidth="1"/>
    <col min="2570" max="2571" width="16.7109375" style="1010" customWidth="1"/>
    <col min="2572" max="2572" width="13.140625" style="1010" customWidth="1"/>
    <col min="2573" max="2573" width="14" style="1010" customWidth="1"/>
    <col min="2574" max="2574" width="17.28515625" style="1010" customWidth="1"/>
    <col min="2575" max="2575" width="16.42578125" style="1010" customWidth="1"/>
    <col min="2576" max="2577" width="15.42578125" style="1010" customWidth="1"/>
    <col min="2578" max="2578" width="25.7109375" style="1010" customWidth="1"/>
    <col min="2579" max="2579" width="31.7109375" style="1010" customWidth="1"/>
    <col min="2580" max="2580" width="34.140625" style="1010" customWidth="1"/>
    <col min="2581" max="2581" width="37.7109375" style="1010" customWidth="1"/>
    <col min="2582" max="2582" width="48.7109375" style="1010" customWidth="1"/>
    <col min="2583" max="2583" width="29.42578125" style="1010" customWidth="1"/>
    <col min="2584" max="2816" width="11.5703125" style="1010"/>
    <col min="2817" max="2817" width="5.42578125" style="1010" customWidth="1"/>
    <col min="2818" max="2818" width="34.42578125" style="1010" customWidth="1"/>
    <col min="2819" max="2819" width="27.7109375" style="1010" customWidth="1"/>
    <col min="2820" max="2820" width="18.140625" style="1010" customWidth="1"/>
    <col min="2821" max="2821" width="24" style="1010" customWidth="1"/>
    <col min="2822" max="2822" width="16" style="1010" customWidth="1"/>
    <col min="2823" max="2823" width="16.140625" style="1010" customWidth="1"/>
    <col min="2824" max="2824" width="15.7109375" style="1010" customWidth="1"/>
    <col min="2825" max="2825" width="17.42578125" style="1010" customWidth="1"/>
    <col min="2826" max="2827" width="16.7109375" style="1010" customWidth="1"/>
    <col min="2828" max="2828" width="13.140625" style="1010" customWidth="1"/>
    <col min="2829" max="2829" width="14" style="1010" customWidth="1"/>
    <col min="2830" max="2830" width="17.28515625" style="1010" customWidth="1"/>
    <col min="2831" max="2831" width="16.42578125" style="1010" customWidth="1"/>
    <col min="2832" max="2833" width="15.42578125" style="1010" customWidth="1"/>
    <col min="2834" max="2834" width="25.7109375" style="1010" customWidth="1"/>
    <col min="2835" max="2835" width="31.7109375" style="1010" customWidth="1"/>
    <col min="2836" max="2836" width="34.140625" style="1010" customWidth="1"/>
    <col min="2837" max="2837" width="37.7109375" style="1010" customWidth="1"/>
    <col min="2838" max="2838" width="48.7109375" style="1010" customWidth="1"/>
    <col min="2839" max="2839" width="29.42578125" style="1010" customWidth="1"/>
    <col min="2840" max="3072" width="11.5703125" style="1010"/>
    <col min="3073" max="3073" width="5.42578125" style="1010" customWidth="1"/>
    <col min="3074" max="3074" width="34.42578125" style="1010" customWidth="1"/>
    <col min="3075" max="3075" width="27.7109375" style="1010" customWidth="1"/>
    <col min="3076" max="3076" width="18.140625" style="1010" customWidth="1"/>
    <col min="3077" max="3077" width="24" style="1010" customWidth="1"/>
    <col min="3078" max="3078" width="16" style="1010" customWidth="1"/>
    <col min="3079" max="3079" width="16.140625" style="1010" customWidth="1"/>
    <col min="3080" max="3080" width="15.7109375" style="1010" customWidth="1"/>
    <col min="3081" max="3081" width="17.42578125" style="1010" customWidth="1"/>
    <col min="3082" max="3083" width="16.7109375" style="1010" customWidth="1"/>
    <col min="3084" max="3084" width="13.140625" style="1010" customWidth="1"/>
    <col min="3085" max="3085" width="14" style="1010" customWidth="1"/>
    <col min="3086" max="3086" width="17.28515625" style="1010" customWidth="1"/>
    <col min="3087" max="3087" width="16.42578125" style="1010" customWidth="1"/>
    <col min="3088" max="3089" width="15.42578125" style="1010" customWidth="1"/>
    <col min="3090" max="3090" width="25.7109375" style="1010" customWidth="1"/>
    <col min="3091" max="3091" width="31.7109375" style="1010" customWidth="1"/>
    <col min="3092" max="3092" width="34.140625" style="1010" customWidth="1"/>
    <col min="3093" max="3093" width="37.7109375" style="1010" customWidth="1"/>
    <col min="3094" max="3094" width="48.7109375" style="1010" customWidth="1"/>
    <col min="3095" max="3095" width="29.42578125" style="1010" customWidth="1"/>
    <col min="3096" max="3328" width="11.5703125" style="1010"/>
    <col min="3329" max="3329" width="5.42578125" style="1010" customWidth="1"/>
    <col min="3330" max="3330" width="34.42578125" style="1010" customWidth="1"/>
    <col min="3331" max="3331" width="27.7109375" style="1010" customWidth="1"/>
    <col min="3332" max="3332" width="18.140625" style="1010" customWidth="1"/>
    <col min="3333" max="3333" width="24" style="1010" customWidth="1"/>
    <col min="3334" max="3334" width="16" style="1010" customWidth="1"/>
    <col min="3335" max="3335" width="16.140625" style="1010" customWidth="1"/>
    <col min="3336" max="3336" width="15.7109375" style="1010" customWidth="1"/>
    <col min="3337" max="3337" width="17.42578125" style="1010" customWidth="1"/>
    <col min="3338" max="3339" width="16.7109375" style="1010" customWidth="1"/>
    <col min="3340" max="3340" width="13.140625" style="1010" customWidth="1"/>
    <col min="3341" max="3341" width="14" style="1010" customWidth="1"/>
    <col min="3342" max="3342" width="17.28515625" style="1010" customWidth="1"/>
    <col min="3343" max="3343" width="16.42578125" style="1010" customWidth="1"/>
    <col min="3344" max="3345" width="15.42578125" style="1010" customWidth="1"/>
    <col min="3346" max="3346" width="25.7109375" style="1010" customWidth="1"/>
    <col min="3347" max="3347" width="31.7109375" style="1010" customWidth="1"/>
    <col min="3348" max="3348" width="34.140625" style="1010" customWidth="1"/>
    <col min="3349" max="3349" width="37.7109375" style="1010" customWidth="1"/>
    <col min="3350" max="3350" width="48.7109375" style="1010" customWidth="1"/>
    <col min="3351" max="3351" width="29.42578125" style="1010" customWidth="1"/>
    <col min="3352" max="3584" width="11.5703125" style="1010"/>
    <col min="3585" max="3585" width="5.42578125" style="1010" customWidth="1"/>
    <col min="3586" max="3586" width="34.42578125" style="1010" customWidth="1"/>
    <col min="3587" max="3587" width="27.7109375" style="1010" customWidth="1"/>
    <col min="3588" max="3588" width="18.140625" style="1010" customWidth="1"/>
    <col min="3589" max="3589" width="24" style="1010" customWidth="1"/>
    <col min="3590" max="3590" width="16" style="1010" customWidth="1"/>
    <col min="3591" max="3591" width="16.140625" style="1010" customWidth="1"/>
    <col min="3592" max="3592" width="15.7109375" style="1010" customWidth="1"/>
    <col min="3593" max="3593" width="17.42578125" style="1010" customWidth="1"/>
    <col min="3594" max="3595" width="16.7109375" style="1010" customWidth="1"/>
    <col min="3596" max="3596" width="13.140625" style="1010" customWidth="1"/>
    <col min="3597" max="3597" width="14" style="1010" customWidth="1"/>
    <col min="3598" max="3598" width="17.28515625" style="1010" customWidth="1"/>
    <col min="3599" max="3599" width="16.42578125" style="1010" customWidth="1"/>
    <col min="3600" max="3601" width="15.42578125" style="1010" customWidth="1"/>
    <col min="3602" max="3602" width="25.7109375" style="1010" customWidth="1"/>
    <col min="3603" max="3603" width="31.7109375" style="1010" customWidth="1"/>
    <col min="3604" max="3604" width="34.140625" style="1010" customWidth="1"/>
    <col min="3605" max="3605" width="37.7109375" style="1010" customWidth="1"/>
    <col min="3606" max="3606" width="48.7109375" style="1010" customWidth="1"/>
    <col min="3607" max="3607" width="29.42578125" style="1010" customWidth="1"/>
    <col min="3608" max="3840" width="11.5703125" style="1010"/>
    <col min="3841" max="3841" width="5.42578125" style="1010" customWidth="1"/>
    <col min="3842" max="3842" width="34.42578125" style="1010" customWidth="1"/>
    <col min="3843" max="3843" width="27.7109375" style="1010" customWidth="1"/>
    <col min="3844" max="3844" width="18.140625" style="1010" customWidth="1"/>
    <col min="3845" max="3845" width="24" style="1010" customWidth="1"/>
    <col min="3846" max="3846" width="16" style="1010" customWidth="1"/>
    <col min="3847" max="3847" width="16.140625" style="1010" customWidth="1"/>
    <col min="3848" max="3848" width="15.7109375" style="1010" customWidth="1"/>
    <col min="3849" max="3849" width="17.42578125" style="1010" customWidth="1"/>
    <col min="3850" max="3851" width="16.7109375" style="1010" customWidth="1"/>
    <col min="3852" max="3852" width="13.140625" style="1010" customWidth="1"/>
    <col min="3853" max="3853" width="14" style="1010" customWidth="1"/>
    <col min="3854" max="3854" width="17.28515625" style="1010" customWidth="1"/>
    <col min="3855" max="3855" width="16.42578125" style="1010" customWidth="1"/>
    <col min="3856" max="3857" width="15.42578125" style="1010" customWidth="1"/>
    <col min="3858" max="3858" width="25.7109375" style="1010" customWidth="1"/>
    <col min="3859" max="3859" width="31.7109375" style="1010" customWidth="1"/>
    <col min="3860" max="3860" width="34.140625" style="1010" customWidth="1"/>
    <col min="3861" max="3861" width="37.7109375" style="1010" customWidth="1"/>
    <col min="3862" max="3862" width="48.7109375" style="1010" customWidth="1"/>
    <col min="3863" max="3863" width="29.42578125" style="1010" customWidth="1"/>
    <col min="3864" max="4096" width="11.5703125" style="1010"/>
    <col min="4097" max="4097" width="5.42578125" style="1010" customWidth="1"/>
    <col min="4098" max="4098" width="34.42578125" style="1010" customWidth="1"/>
    <col min="4099" max="4099" width="27.7109375" style="1010" customWidth="1"/>
    <col min="4100" max="4100" width="18.140625" style="1010" customWidth="1"/>
    <col min="4101" max="4101" width="24" style="1010" customWidth="1"/>
    <col min="4102" max="4102" width="16" style="1010" customWidth="1"/>
    <col min="4103" max="4103" width="16.140625" style="1010" customWidth="1"/>
    <col min="4104" max="4104" width="15.7109375" style="1010" customWidth="1"/>
    <col min="4105" max="4105" width="17.42578125" style="1010" customWidth="1"/>
    <col min="4106" max="4107" width="16.7109375" style="1010" customWidth="1"/>
    <col min="4108" max="4108" width="13.140625" style="1010" customWidth="1"/>
    <col min="4109" max="4109" width="14" style="1010" customWidth="1"/>
    <col min="4110" max="4110" width="17.28515625" style="1010" customWidth="1"/>
    <col min="4111" max="4111" width="16.42578125" style="1010" customWidth="1"/>
    <col min="4112" max="4113" width="15.42578125" style="1010" customWidth="1"/>
    <col min="4114" max="4114" width="25.7109375" style="1010" customWidth="1"/>
    <col min="4115" max="4115" width="31.7109375" style="1010" customWidth="1"/>
    <col min="4116" max="4116" width="34.140625" style="1010" customWidth="1"/>
    <col min="4117" max="4117" width="37.7109375" style="1010" customWidth="1"/>
    <col min="4118" max="4118" width="48.7109375" style="1010" customWidth="1"/>
    <col min="4119" max="4119" width="29.42578125" style="1010" customWidth="1"/>
    <col min="4120" max="4352" width="11.5703125" style="1010"/>
    <col min="4353" max="4353" width="5.42578125" style="1010" customWidth="1"/>
    <col min="4354" max="4354" width="34.42578125" style="1010" customWidth="1"/>
    <col min="4355" max="4355" width="27.7109375" style="1010" customWidth="1"/>
    <col min="4356" max="4356" width="18.140625" style="1010" customWidth="1"/>
    <col min="4357" max="4357" width="24" style="1010" customWidth="1"/>
    <col min="4358" max="4358" width="16" style="1010" customWidth="1"/>
    <col min="4359" max="4359" width="16.140625" style="1010" customWidth="1"/>
    <col min="4360" max="4360" width="15.7109375" style="1010" customWidth="1"/>
    <col min="4361" max="4361" width="17.42578125" style="1010" customWidth="1"/>
    <col min="4362" max="4363" width="16.7109375" style="1010" customWidth="1"/>
    <col min="4364" max="4364" width="13.140625" style="1010" customWidth="1"/>
    <col min="4365" max="4365" width="14" style="1010" customWidth="1"/>
    <col min="4366" max="4366" width="17.28515625" style="1010" customWidth="1"/>
    <col min="4367" max="4367" width="16.42578125" style="1010" customWidth="1"/>
    <col min="4368" max="4369" width="15.42578125" style="1010" customWidth="1"/>
    <col min="4370" max="4370" width="25.7109375" style="1010" customWidth="1"/>
    <col min="4371" max="4371" width="31.7109375" style="1010" customWidth="1"/>
    <col min="4372" max="4372" width="34.140625" style="1010" customWidth="1"/>
    <col min="4373" max="4373" width="37.7109375" style="1010" customWidth="1"/>
    <col min="4374" max="4374" width="48.7109375" style="1010" customWidth="1"/>
    <col min="4375" max="4375" width="29.42578125" style="1010" customWidth="1"/>
    <col min="4376" max="4608" width="11.5703125" style="1010"/>
    <col min="4609" max="4609" width="5.42578125" style="1010" customWidth="1"/>
    <col min="4610" max="4610" width="34.42578125" style="1010" customWidth="1"/>
    <col min="4611" max="4611" width="27.7109375" style="1010" customWidth="1"/>
    <col min="4612" max="4612" width="18.140625" style="1010" customWidth="1"/>
    <col min="4613" max="4613" width="24" style="1010" customWidth="1"/>
    <col min="4614" max="4614" width="16" style="1010" customWidth="1"/>
    <col min="4615" max="4615" width="16.140625" style="1010" customWidth="1"/>
    <col min="4616" max="4616" width="15.7109375" style="1010" customWidth="1"/>
    <col min="4617" max="4617" width="17.42578125" style="1010" customWidth="1"/>
    <col min="4618" max="4619" width="16.7109375" style="1010" customWidth="1"/>
    <col min="4620" max="4620" width="13.140625" style="1010" customWidth="1"/>
    <col min="4621" max="4621" width="14" style="1010" customWidth="1"/>
    <col min="4622" max="4622" width="17.28515625" style="1010" customWidth="1"/>
    <col min="4623" max="4623" width="16.42578125" style="1010" customWidth="1"/>
    <col min="4624" max="4625" width="15.42578125" style="1010" customWidth="1"/>
    <col min="4626" max="4626" width="25.7109375" style="1010" customWidth="1"/>
    <col min="4627" max="4627" width="31.7109375" style="1010" customWidth="1"/>
    <col min="4628" max="4628" width="34.140625" style="1010" customWidth="1"/>
    <col min="4629" max="4629" width="37.7109375" style="1010" customWidth="1"/>
    <col min="4630" max="4630" width="48.7109375" style="1010" customWidth="1"/>
    <col min="4631" max="4631" width="29.42578125" style="1010" customWidth="1"/>
    <col min="4632" max="4864" width="11.5703125" style="1010"/>
    <col min="4865" max="4865" width="5.42578125" style="1010" customWidth="1"/>
    <col min="4866" max="4866" width="34.42578125" style="1010" customWidth="1"/>
    <col min="4867" max="4867" width="27.7109375" style="1010" customWidth="1"/>
    <col min="4868" max="4868" width="18.140625" style="1010" customWidth="1"/>
    <col min="4869" max="4869" width="24" style="1010" customWidth="1"/>
    <col min="4870" max="4870" width="16" style="1010" customWidth="1"/>
    <col min="4871" max="4871" width="16.140625" style="1010" customWidth="1"/>
    <col min="4872" max="4872" width="15.7109375" style="1010" customWidth="1"/>
    <col min="4873" max="4873" width="17.42578125" style="1010" customWidth="1"/>
    <col min="4874" max="4875" width="16.7109375" style="1010" customWidth="1"/>
    <col min="4876" max="4876" width="13.140625" style="1010" customWidth="1"/>
    <col min="4877" max="4877" width="14" style="1010" customWidth="1"/>
    <col min="4878" max="4878" width="17.28515625" style="1010" customWidth="1"/>
    <col min="4879" max="4879" width="16.42578125" style="1010" customWidth="1"/>
    <col min="4880" max="4881" width="15.42578125" style="1010" customWidth="1"/>
    <col min="4882" max="4882" width="25.7109375" style="1010" customWidth="1"/>
    <col min="4883" max="4883" width="31.7109375" style="1010" customWidth="1"/>
    <col min="4884" max="4884" width="34.140625" style="1010" customWidth="1"/>
    <col min="4885" max="4885" width="37.7109375" style="1010" customWidth="1"/>
    <col min="4886" max="4886" width="48.7109375" style="1010" customWidth="1"/>
    <col min="4887" max="4887" width="29.42578125" style="1010" customWidth="1"/>
    <col min="4888" max="5120" width="11.5703125" style="1010"/>
    <col min="5121" max="5121" width="5.42578125" style="1010" customWidth="1"/>
    <col min="5122" max="5122" width="34.42578125" style="1010" customWidth="1"/>
    <col min="5123" max="5123" width="27.7109375" style="1010" customWidth="1"/>
    <col min="5124" max="5124" width="18.140625" style="1010" customWidth="1"/>
    <col min="5125" max="5125" width="24" style="1010" customWidth="1"/>
    <col min="5126" max="5126" width="16" style="1010" customWidth="1"/>
    <col min="5127" max="5127" width="16.140625" style="1010" customWidth="1"/>
    <col min="5128" max="5128" width="15.7109375" style="1010" customWidth="1"/>
    <col min="5129" max="5129" width="17.42578125" style="1010" customWidth="1"/>
    <col min="5130" max="5131" width="16.7109375" style="1010" customWidth="1"/>
    <col min="5132" max="5132" width="13.140625" style="1010" customWidth="1"/>
    <col min="5133" max="5133" width="14" style="1010" customWidth="1"/>
    <col min="5134" max="5134" width="17.28515625" style="1010" customWidth="1"/>
    <col min="5135" max="5135" width="16.42578125" style="1010" customWidth="1"/>
    <col min="5136" max="5137" width="15.42578125" style="1010" customWidth="1"/>
    <col min="5138" max="5138" width="25.7109375" style="1010" customWidth="1"/>
    <col min="5139" max="5139" width="31.7109375" style="1010" customWidth="1"/>
    <col min="5140" max="5140" width="34.140625" style="1010" customWidth="1"/>
    <col min="5141" max="5141" width="37.7109375" style="1010" customWidth="1"/>
    <col min="5142" max="5142" width="48.7109375" style="1010" customWidth="1"/>
    <col min="5143" max="5143" width="29.42578125" style="1010" customWidth="1"/>
    <col min="5144" max="5376" width="11.5703125" style="1010"/>
    <col min="5377" max="5377" width="5.42578125" style="1010" customWidth="1"/>
    <col min="5378" max="5378" width="34.42578125" style="1010" customWidth="1"/>
    <col min="5379" max="5379" width="27.7109375" style="1010" customWidth="1"/>
    <col min="5380" max="5380" width="18.140625" style="1010" customWidth="1"/>
    <col min="5381" max="5381" width="24" style="1010" customWidth="1"/>
    <col min="5382" max="5382" width="16" style="1010" customWidth="1"/>
    <col min="5383" max="5383" width="16.140625" style="1010" customWidth="1"/>
    <col min="5384" max="5384" width="15.7109375" style="1010" customWidth="1"/>
    <col min="5385" max="5385" width="17.42578125" style="1010" customWidth="1"/>
    <col min="5386" max="5387" width="16.7109375" style="1010" customWidth="1"/>
    <col min="5388" max="5388" width="13.140625" style="1010" customWidth="1"/>
    <col min="5389" max="5389" width="14" style="1010" customWidth="1"/>
    <col min="5390" max="5390" width="17.28515625" style="1010" customWidth="1"/>
    <col min="5391" max="5391" width="16.42578125" style="1010" customWidth="1"/>
    <col min="5392" max="5393" width="15.42578125" style="1010" customWidth="1"/>
    <col min="5394" max="5394" width="25.7109375" style="1010" customWidth="1"/>
    <col min="5395" max="5395" width="31.7109375" style="1010" customWidth="1"/>
    <col min="5396" max="5396" width="34.140625" style="1010" customWidth="1"/>
    <col min="5397" max="5397" width="37.7109375" style="1010" customWidth="1"/>
    <col min="5398" max="5398" width="48.7109375" style="1010" customWidth="1"/>
    <col min="5399" max="5399" width="29.42578125" style="1010" customWidth="1"/>
    <col min="5400" max="5632" width="11.5703125" style="1010"/>
    <col min="5633" max="5633" width="5.42578125" style="1010" customWidth="1"/>
    <col min="5634" max="5634" width="34.42578125" style="1010" customWidth="1"/>
    <col min="5635" max="5635" width="27.7109375" style="1010" customWidth="1"/>
    <col min="5636" max="5636" width="18.140625" style="1010" customWidth="1"/>
    <col min="5637" max="5637" width="24" style="1010" customWidth="1"/>
    <col min="5638" max="5638" width="16" style="1010" customWidth="1"/>
    <col min="5639" max="5639" width="16.140625" style="1010" customWidth="1"/>
    <col min="5640" max="5640" width="15.7109375" style="1010" customWidth="1"/>
    <col min="5641" max="5641" width="17.42578125" style="1010" customWidth="1"/>
    <col min="5642" max="5643" width="16.7109375" style="1010" customWidth="1"/>
    <col min="5644" max="5644" width="13.140625" style="1010" customWidth="1"/>
    <col min="5645" max="5645" width="14" style="1010" customWidth="1"/>
    <col min="5646" max="5646" width="17.28515625" style="1010" customWidth="1"/>
    <col min="5647" max="5647" width="16.42578125" style="1010" customWidth="1"/>
    <col min="5648" max="5649" width="15.42578125" style="1010" customWidth="1"/>
    <col min="5650" max="5650" width="25.7109375" style="1010" customWidth="1"/>
    <col min="5651" max="5651" width="31.7109375" style="1010" customWidth="1"/>
    <col min="5652" max="5652" width="34.140625" style="1010" customWidth="1"/>
    <col min="5653" max="5653" width="37.7109375" style="1010" customWidth="1"/>
    <col min="5654" max="5654" width="48.7109375" style="1010" customWidth="1"/>
    <col min="5655" max="5655" width="29.42578125" style="1010" customWidth="1"/>
    <col min="5656" max="5888" width="11.5703125" style="1010"/>
    <col min="5889" max="5889" width="5.42578125" style="1010" customWidth="1"/>
    <col min="5890" max="5890" width="34.42578125" style="1010" customWidth="1"/>
    <col min="5891" max="5891" width="27.7109375" style="1010" customWidth="1"/>
    <col min="5892" max="5892" width="18.140625" style="1010" customWidth="1"/>
    <col min="5893" max="5893" width="24" style="1010" customWidth="1"/>
    <col min="5894" max="5894" width="16" style="1010" customWidth="1"/>
    <col min="5895" max="5895" width="16.140625" style="1010" customWidth="1"/>
    <col min="5896" max="5896" width="15.7109375" style="1010" customWidth="1"/>
    <col min="5897" max="5897" width="17.42578125" style="1010" customWidth="1"/>
    <col min="5898" max="5899" width="16.7109375" style="1010" customWidth="1"/>
    <col min="5900" max="5900" width="13.140625" style="1010" customWidth="1"/>
    <col min="5901" max="5901" width="14" style="1010" customWidth="1"/>
    <col min="5902" max="5902" width="17.28515625" style="1010" customWidth="1"/>
    <col min="5903" max="5903" width="16.42578125" style="1010" customWidth="1"/>
    <col min="5904" max="5905" width="15.42578125" style="1010" customWidth="1"/>
    <col min="5906" max="5906" width="25.7109375" style="1010" customWidth="1"/>
    <col min="5907" max="5907" width="31.7109375" style="1010" customWidth="1"/>
    <col min="5908" max="5908" width="34.140625" style="1010" customWidth="1"/>
    <col min="5909" max="5909" width="37.7109375" style="1010" customWidth="1"/>
    <col min="5910" max="5910" width="48.7109375" style="1010" customWidth="1"/>
    <col min="5911" max="5911" width="29.42578125" style="1010" customWidth="1"/>
    <col min="5912" max="6144" width="11.5703125" style="1010"/>
    <col min="6145" max="6145" width="5.42578125" style="1010" customWidth="1"/>
    <col min="6146" max="6146" width="34.42578125" style="1010" customWidth="1"/>
    <col min="6147" max="6147" width="27.7109375" style="1010" customWidth="1"/>
    <col min="6148" max="6148" width="18.140625" style="1010" customWidth="1"/>
    <col min="6149" max="6149" width="24" style="1010" customWidth="1"/>
    <col min="6150" max="6150" width="16" style="1010" customWidth="1"/>
    <col min="6151" max="6151" width="16.140625" style="1010" customWidth="1"/>
    <col min="6152" max="6152" width="15.7109375" style="1010" customWidth="1"/>
    <col min="6153" max="6153" width="17.42578125" style="1010" customWidth="1"/>
    <col min="6154" max="6155" width="16.7109375" style="1010" customWidth="1"/>
    <col min="6156" max="6156" width="13.140625" style="1010" customWidth="1"/>
    <col min="6157" max="6157" width="14" style="1010" customWidth="1"/>
    <col min="6158" max="6158" width="17.28515625" style="1010" customWidth="1"/>
    <col min="6159" max="6159" width="16.42578125" style="1010" customWidth="1"/>
    <col min="6160" max="6161" width="15.42578125" style="1010" customWidth="1"/>
    <col min="6162" max="6162" width="25.7109375" style="1010" customWidth="1"/>
    <col min="6163" max="6163" width="31.7109375" style="1010" customWidth="1"/>
    <col min="6164" max="6164" width="34.140625" style="1010" customWidth="1"/>
    <col min="6165" max="6165" width="37.7109375" style="1010" customWidth="1"/>
    <col min="6166" max="6166" width="48.7109375" style="1010" customWidth="1"/>
    <col min="6167" max="6167" width="29.42578125" style="1010" customWidth="1"/>
    <col min="6168" max="6400" width="11.5703125" style="1010"/>
    <col min="6401" max="6401" width="5.42578125" style="1010" customWidth="1"/>
    <col min="6402" max="6402" width="34.42578125" style="1010" customWidth="1"/>
    <col min="6403" max="6403" width="27.7109375" style="1010" customWidth="1"/>
    <col min="6404" max="6404" width="18.140625" style="1010" customWidth="1"/>
    <col min="6405" max="6405" width="24" style="1010" customWidth="1"/>
    <col min="6406" max="6406" width="16" style="1010" customWidth="1"/>
    <col min="6407" max="6407" width="16.140625" style="1010" customWidth="1"/>
    <col min="6408" max="6408" width="15.7109375" style="1010" customWidth="1"/>
    <col min="6409" max="6409" width="17.42578125" style="1010" customWidth="1"/>
    <col min="6410" max="6411" width="16.7109375" style="1010" customWidth="1"/>
    <col min="6412" max="6412" width="13.140625" style="1010" customWidth="1"/>
    <col min="6413" max="6413" width="14" style="1010" customWidth="1"/>
    <col min="6414" max="6414" width="17.28515625" style="1010" customWidth="1"/>
    <col min="6415" max="6415" width="16.42578125" style="1010" customWidth="1"/>
    <col min="6416" max="6417" width="15.42578125" style="1010" customWidth="1"/>
    <col min="6418" max="6418" width="25.7109375" style="1010" customWidth="1"/>
    <col min="6419" max="6419" width="31.7109375" style="1010" customWidth="1"/>
    <col min="6420" max="6420" width="34.140625" style="1010" customWidth="1"/>
    <col min="6421" max="6421" width="37.7109375" style="1010" customWidth="1"/>
    <col min="6422" max="6422" width="48.7109375" style="1010" customWidth="1"/>
    <col min="6423" max="6423" width="29.42578125" style="1010" customWidth="1"/>
    <col min="6424" max="6656" width="11.5703125" style="1010"/>
    <col min="6657" max="6657" width="5.42578125" style="1010" customWidth="1"/>
    <col min="6658" max="6658" width="34.42578125" style="1010" customWidth="1"/>
    <col min="6659" max="6659" width="27.7109375" style="1010" customWidth="1"/>
    <col min="6660" max="6660" width="18.140625" style="1010" customWidth="1"/>
    <col min="6661" max="6661" width="24" style="1010" customWidth="1"/>
    <col min="6662" max="6662" width="16" style="1010" customWidth="1"/>
    <col min="6663" max="6663" width="16.140625" style="1010" customWidth="1"/>
    <col min="6664" max="6664" width="15.7109375" style="1010" customWidth="1"/>
    <col min="6665" max="6665" width="17.42578125" style="1010" customWidth="1"/>
    <col min="6666" max="6667" width="16.7109375" style="1010" customWidth="1"/>
    <col min="6668" max="6668" width="13.140625" style="1010" customWidth="1"/>
    <col min="6669" max="6669" width="14" style="1010" customWidth="1"/>
    <col min="6670" max="6670" width="17.28515625" style="1010" customWidth="1"/>
    <col min="6671" max="6671" width="16.42578125" style="1010" customWidth="1"/>
    <col min="6672" max="6673" width="15.42578125" style="1010" customWidth="1"/>
    <col min="6674" max="6674" width="25.7109375" style="1010" customWidth="1"/>
    <col min="6675" max="6675" width="31.7109375" style="1010" customWidth="1"/>
    <col min="6676" max="6676" width="34.140625" style="1010" customWidth="1"/>
    <col min="6677" max="6677" width="37.7109375" style="1010" customWidth="1"/>
    <col min="6678" max="6678" width="48.7109375" style="1010" customWidth="1"/>
    <col min="6679" max="6679" width="29.42578125" style="1010" customWidth="1"/>
    <col min="6680" max="6912" width="11.5703125" style="1010"/>
    <col min="6913" max="6913" width="5.42578125" style="1010" customWidth="1"/>
    <col min="6914" max="6914" width="34.42578125" style="1010" customWidth="1"/>
    <col min="6915" max="6915" width="27.7109375" style="1010" customWidth="1"/>
    <col min="6916" max="6916" width="18.140625" style="1010" customWidth="1"/>
    <col min="6917" max="6917" width="24" style="1010" customWidth="1"/>
    <col min="6918" max="6918" width="16" style="1010" customWidth="1"/>
    <col min="6919" max="6919" width="16.140625" style="1010" customWidth="1"/>
    <col min="6920" max="6920" width="15.7109375" style="1010" customWidth="1"/>
    <col min="6921" max="6921" width="17.42578125" style="1010" customWidth="1"/>
    <col min="6922" max="6923" width="16.7109375" style="1010" customWidth="1"/>
    <col min="6924" max="6924" width="13.140625" style="1010" customWidth="1"/>
    <col min="6925" max="6925" width="14" style="1010" customWidth="1"/>
    <col min="6926" max="6926" width="17.28515625" style="1010" customWidth="1"/>
    <col min="6927" max="6927" width="16.42578125" style="1010" customWidth="1"/>
    <col min="6928" max="6929" width="15.42578125" style="1010" customWidth="1"/>
    <col min="6930" max="6930" width="25.7109375" style="1010" customWidth="1"/>
    <col min="6931" max="6931" width="31.7109375" style="1010" customWidth="1"/>
    <col min="6932" max="6932" width="34.140625" style="1010" customWidth="1"/>
    <col min="6933" max="6933" width="37.7109375" style="1010" customWidth="1"/>
    <col min="6934" max="6934" width="48.7109375" style="1010" customWidth="1"/>
    <col min="6935" max="6935" width="29.42578125" style="1010" customWidth="1"/>
    <col min="6936" max="7168" width="11.5703125" style="1010"/>
    <col min="7169" max="7169" width="5.42578125" style="1010" customWidth="1"/>
    <col min="7170" max="7170" width="34.42578125" style="1010" customWidth="1"/>
    <col min="7171" max="7171" width="27.7109375" style="1010" customWidth="1"/>
    <col min="7172" max="7172" width="18.140625" style="1010" customWidth="1"/>
    <col min="7173" max="7173" width="24" style="1010" customWidth="1"/>
    <col min="7174" max="7174" width="16" style="1010" customWidth="1"/>
    <col min="7175" max="7175" width="16.140625" style="1010" customWidth="1"/>
    <col min="7176" max="7176" width="15.7109375" style="1010" customWidth="1"/>
    <col min="7177" max="7177" width="17.42578125" style="1010" customWidth="1"/>
    <col min="7178" max="7179" width="16.7109375" style="1010" customWidth="1"/>
    <col min="7180" max="7180" width="13.140625" style="1010" customWidth="1"/>
    <col min="7181" max="7181" width="14" style="1010" customWidth="1"/>
    <col min="7182" max="7182" width="17.28515625" style="1010" customWidth="1"/>
    <col min="7183" max="7183" width="16.42578125" style="1010" customWidth="1"/>
    <col min="7184" max="7185" width="15.42578125" style="1010" customWidth="1"/>
    <col min="7186" max="7186" width="25.7109375" style="1010" customWidth="1"/>
    <col min="7187" max="7187" width="31.7109375" style="1010" customWidth="1"/>
    <col min="7188" max="7188" width="34.140625" style="1010" customWidth="1"/>
    <col min="7189" max="7189" width="37.7109375" style="1010" customWidth="1"/>
    <col min="7190" max="7190" width="48.7109375" style="1010" customWidth="1"/>
    <col min="7191" max="7191" width="29.42578125" style="1010" customWidth="1"/>
    <col min="7192" max="7424" width="11.5703125" style="1010"/>
    <col min="7425" max="7425" width="5.42578125" style="1010" customWidth="1"/>
    <col min="7426" max="7426" width="34.42578125" style="1010" customWidth="1"/>
    <col min="7427" max="7427" width="27.7109375" style="1010" customWidth="1"/>
    <col min="7428" max="7428" width="18.140625" style="1010" customWidth="1"/>
    <col min="7429" max="7429" width="24" style="1010" customWidth="1"/>
    <col min="7430" max="7430" width="16" style="1010" customWidth="1"/>
    <col min="7431" max="7431" width="16.140625" style="1010" customWidth="1"/>
    <col min="7432" max="7432" width="15.7109375" style="1010" customWidth="1"/>
    <col min="7433" max="7433" width="17.42578125" style="1010" customWidth="1"/>
    <col min="7434" max="7435" width="16.7109375" style="1010" customWidth="1"/>
    <col min="7436" max="7436" width="13.140625" style="1010" customWidth="1"/>
    <col min="7437" max="7437" width="14" style="1010" customWidth="1"/>
    <col min="7438" max="7438" width="17.28515625" style="1010" customWidth="1"/>
    <col min="7439" max="7439" width="16.42578125" style="1010" customWidth="1"/>
    <col min="7440" max="7441" width="15.42578125" style="1010" customWidth="1"/>
    <col min="7442" max="7442" width="25.7109375" style="1010" customWidth="1"/>
    <col min="7443" max="7443" width="31.7109375" style="1010" customWidth="1"/>
    <col min="7444" max="7444" width="34.140625" style="1010" customWidth="1"/>
    <col min="7445" max="7445" width="37.7109375" style="1010" customWidth="1"/>
    <col min="7446" max="7446" width="48.7109375" style="1010" customWidth="1"/>
    <col min="7447" max="7447" width="29.42578125" style="1010" customWidth="1"/>
    <col min="7448" max="7680" width="11.5703125" style="1010"/>
    <col min="7681" max="7681" width="5.42578125" style="1010" customWidth="1"/>
    <col min="7682" max="7682" width="34.42578125" style="1010" customWidth="1"/>
    <col min="7683" max="7683" width="27.7109375" style="1010" customWidth="1"/>
    <col min="7684" max="7684" width="18.140625" style="1010" customWidth="1"/>
    <col min="7685" max="7685" width="24" style="1010" customWidth="1"/>
    <col min="7686" max="7686" width="16" style="1010" customWidth="1"/>
    <col min="7687" max="7687" width="16.140625" style="1010" customWidth="1"/>
    <col min="7688" max="7688" width="15.7109375" style="1010" customWidth="1"/>
    <col min="7689" max="7689" width="17.42578125" style="1010" customWidth="1"/>
    <col min="7690" max="7691" width="16.7109375" style="1010" customWidth="1"/>
    <col min="7692" max="7692" width="13.140625" style="1010" customWidth="1"/>
    <col min="7693" max="7693" width="14" style="1010" customWidth="1"/>
    <col min="7694" max="7694" width="17.28515625" style="1010" customWidth="1"/>
    <col min="7695" max="7695" width="16.42578125" style="1010" customWidth="1"/>
    <col min="7696" max="7697" width="15.42578125" style="1010" customWidth="1"/>
    <col min="7698" max="7698" width="25.7109375" style="1010" customWidth="1"/>
    <col min="7699" max="7699" width="31.7109375" style="1010" customWidth="1"/>
    <col min="7700" max="7700" width="34.140625" style="1010" customWidth="1"/>
    <col min="7701" max="7701" width="37.7109375" style="1010" customWidth="1"/>
    <col min="7702" max="7702" width="48.7109375" style="1010" customWidth="1"/>
    <col min="7703" max="7703" width="29.42578125" style="1010" customWidth="1"/>
    <col min="7704" max="7936" width="11.5703125" style="1010"/>
    <col min="7937" max="7937" width="5.42578125" style="1010" customWidth="1"/>
    <col min="7938" max="7938" width="34.42578125" style="1010" customWidth="1"/>
    <col min="7939" max="7939" width="27.7109375" style="1010" customWidth="1"/>
    <col min="7940" max="7940" width="18.140625" style="1010" customWidth="1"/>
    <col min="7941" max="7941" width="24" style="1010" customWidth="1"/>
    <col min="7942" max="7942" width="16" style="1010" customWidth="1"/>
    <col min="7943" max="7943" width="16.140625" style="1010" customWidth="1"/>
    <col min="7944" max="7944" width="15.7109375" style="1010" customWidth="1"/>
    <col min="7945" max="7945" width="17.42578125" style="1010" customWidth="1"/>
    <col min="7946" max="7947" width="16.7109375" style="1010" customWidth="1"/>
    <col min="7948" max="7948" width="13.140625" style="1010" customWidth="1"/>
    <col min="7949" max="7949" width="14" style="1010" customWidth="1"/>
    <col min="7950" max="7950" width="17.28515625" style="1010" customWidth="1"/>
    <col min="7951" max="7951" width="16.42578125" style="1010" customWidth="1"/>
    <col min="7952" max="7953" width="15.42578125" style="1010" customWidth="1"/>
    <col min="7954" max="7954" width="25.7109375" style="1010" customWidth="1"/>
    <col min="7955" max="7955" width="31.7109375" style="1010" customWidth="1"/>
    <col min="7956" max="7956" width="34.140625" style="1010" customWidth="1"/>
    <col min="7957" max="7957" width="37.7109375" style="1010" customWidth="1"/>
    <col min="7958" max="7958" width="48.7109375" style="1010" customWidth="1"/>
    <col min="7959" max="7959" width="29.42578125" style="1010" customWidth="1"/>
    <col min="7960" max="8192" width="11.5703125" style="1010"/>
    <col min="8193" max="8193" width="5.42578125" style="1010" customWidth="1"/>
    <col min="8194" max="8194" width="34.42578125" style="1010" customWidth="1"/>
    <col min="8195" max="8195" width="27.7109375" style="1010" customWidth="1"/>
    <col min="8196" max="8196" width="18.140625" style="1010" customWidth="1"/>
    <col min="8197" max="8197" width="24" style="1010" customWidth="1"/>
    <col min="8198" max="8198" width="16" style="1010" customWidth="1"/>
    <col min="8199" max="8199" width="16.140625" style="1010" customWidth="1"/>
    <col min="8200" max="8200" width="15.7109375" style="1010" customWidth="1"/>
    <col min="8201" max="8201" width="17.42578125" style="1010" customWidth="1"/>
    <col min="8202" max="8203" width="16.7109375" style="1010" customWidth="1"/>
    <col min="8204" max="8204" width="13.140625" style="1010" customWidth="1"/>
    <col min="8205" max="8205" width="14" style="1010" customWidth="1"/>
    <col min="8206" max="8206" width="17.28515625" style="1010" customWidth="1"/>
    <col min="8207" max="8207" width="16.42578125" style="1010" customWidth="1"/>
    <col min="8208" max="8209" width="15.42578125" style="1010" customWidth="1"/>
    <col min="8210" max="8210" width="25.7109375" style="1010" customWidth="1"/>
    <col min="8211" max="8211" width="31.7109375" style="1010" customWidth="1"/>
    <col min="8212" max="8212" width="34.140625" style="1010" customWidth="1"/>
    <col min="8213" max="8213" width="37.7109375" style="1010" customWidth="1"/>
    <col min="8214" max="8214" width="48.7109375" style="1010" customWidth="1"/>
    <col min="8215" max="8215" width="29.42578125" style="1010" customWidth="1"/>
    <col min="8216" max="8448" width="11.5703125" style="1010"/>
    <col min="8449" max="8449" width="5.42578125" style="1010" customWidth="1"/>
    <col min="8450" max="8450" width="34.42578125" style="1010" customWidth="1"/>
    <col min="8451" max="8451" width="27.7109375" style="1010" customWidth="1"/>
    <col min="8452" max="8452" width="18.140625" style="1010" customWidth="1"/>
    <col min="8453" max="8453" width="24" style="1010" customWidth="1"/>
    <col min="8454" max="8454" width="16" style="1010" customWidth="1"/>
    <col min="8455" max="8455" width="16.140625" style="1010" customWidth="1"/>
    <col min="8456" max="8456" width="15.7109375" style="1010" customWidth="1"/>
    <col min="8457" max="8457" width="17.42578125" style="1010" customWidth="1"/>
    <col min="8458" max="8459" width="16.7109375" style="1010" customWidth="1"/>
    <col min="8460" max="8460" width="13.140625" style="1010" customWidth="1"/>
    <col min="8461" max="8461" width="14" style="1010" customWidth="1"/>
    <col min="8462" max="8462" width="17.28515625" style="1010" customWidth="1"/>
    <col min="8463" max="8463" width="16.42578125" style="1010" customWidth="1"/>
    <col min="8464" max="8465" width="15.42578125" style="1010" customWidth="1"/>
    <col min="8466" max="8466" width="25.7109375" style="1010" customWidth="1"/>
    <col min="8467" max="8467" width="31.7109375" style="1010" customWidth="1"/>
    <col min="8468" max="8468" width="34.140625" style="1010" customWidth="1"/>
    <col min="8469" max="8469" width="37.7109375" style="1010" customWidth="1"/>
    <col min="8470" max="8470" width="48.7109375" style="1010" customWidth="1"/>
    <col min="8471" max="8471" width="29.42578125" style="1010" customWidth="1"/>
    <col min="8472" max="8704" width="11.5703125" style="1010"/>
    <col min="8705" max="8705" width="5.42578125" style="1010" customWidth="1"/>
    <col min="8706" max="8706" width="34.42578125" style="1010" customWidth="1"/>
    <col min="8707" max="8707" width="27.7109375" style="1010" customWidth="1"/>
    <col min="8708" max="8708" width="18.140625" style="1010" customWidth="1"/>
    <col min="8709" max="8709" width="24" style="1010" customWidth="1"/>
    <col min="8710" max="8710" width="16" style="1010" customWidth="1"/>
    <col min="8711" max="8711" width="16.140625" style="1010" customWidth="1"/>
    <col min="8712" max="8712" width="15.7109375" style="1010" customWidth="1"/>
    <col min="8713" max="8713" width="17.42578125" style="1010" customWidth="1"/>
    <col min="8714" max="8715" width="16.7109375" style="1010" customWidth="1"/>
    <col min="8716" max="8716" width="13.140625" style="1010" customWidth="1"/>
    <col min="8717" max="8717" width="14" style="1010" customWidth="1"/>
    <col min="8718" max="8718" width="17.28515625" style="1010" customWidth="1"/>
    <col min="8719" max="8719" width="16.42578125" style="1010" customWidth="1"/>
    <col min="8720" max="8721" width="15.42578125" style="1010" customWidth="1"/>
    <col min="8722" max="8722" width="25.7109375" style="1010" customWidth="1"/>
    <col min="8723" max="8723" width="31.7109375" style="1010" customWidth="1"/>
    <col min="8724" max="8724" width="34.140625" style="1010" customWidth="1"/>
    <col min="8725" max="8725" width="37.7109375" style="1010" customWidth="1"/>
    <col min="8726" max="8726" width="48.7109375" style="1010" customWidth="1"/>
    <col min="8727" max="8727" width="29.42578125" style="1010" customWidth="1"/>
    <col min="8728" max="8960" width="11.5703125" style="1010"/>
    <col min="8961" max="8961" width="5.42578125" style="1010" customWidth="1"/>
    <col min="8962" max="8962" width="34.42578125" style="1010" customWidth="1"/>
    <col min="8963" max="8963" width="27.7109375" style="1010" customWidth="1"/>
    <col min="8964" max="8964" width="18.140625" style="1010" customWidth="1"/>
    <col min="8965" max="8965" width="24" style="1010" customWidth="1"/>
    <col min="8966" max="8966" width="16" style="1010" customWidth="1"/>
    <col min="8967" max="8967" width="16.140625" style="1010" customWidth="1"/>
    <col min="8968" max="8968" width="15.7109375" style="1010" customWidth="1"/>
    <col min="8969" max="8969" width="17.42578125" style="1010" customWidth="1"/>
    <col min="8970" max="8971" width="16.7109375" style="1010" customWidth="1"/>
    <col min="8972" max="8972" width="13.140625" style="1010" customWidth="1"/>
    <col min="8973" max="8973" width="14" style="1010" customWidth="1"/>
    <col min="8974" max="8974" width="17.28515625" style="1010" customWidth="1"/>
    <col min="8975" max="8975" width="16.42578125" style="1010" customWidth="1"/>
    <col min="8976" max="8977" width="15.42578125" style="1010" customWidth="1"/>
    <col min="8978" max="8978" width="25.7109375" style="1010" customWidth="1"/>
    <col min="8979" max="8979" width="31.7109375" style="1010" customWidth="1"/>
    <col min="8980" max="8980" width="34.140625" style="1010" customWidth="1"/>
    <col min="8981" max="8981" width="37.7109375" style="1010" customWidth="1"/>
    <col min="8982" max="8982" width="48.7109375" style="1010" customWidth="1"/>
    <col min="8983" max="8983" width="29.42578125" style="1010" customWidth="1"/>
    <col min="8984" max="9216" width="11.5703125" style="1010"/>
    <col min="9217" max="9217" width="5.42578125" style="1010" customWidth="1"/>
    <col min="9218" max="9218" width="34.42578125" style="1010" customWidth="1"/>
    <col min="9219" max="9219" width="27.7109375" style="1010" customWidth="1"/>
    <col min="9220" max="9220" width="18.140625" style="1010" customWidth="1"/>
    <col min="9221" max="9221" width="24" style="1010" customWidth="1"/>
    <col min="9222" max="9222" width="16" style="1010" customWidth="1"/>
    <col min="9223" max="9223" width="16.140625" style="1010" customWidth="1"/>
    <col min="9224" max="9224" width="15.7109375" style="1010" customWidth="1"/>
    <col min="9225" max="9225" width="17.42578125" style="1010" customWidth="1"/>
    <col min="9226" max="9227" width="16.7109375" style="1010" customWidth="1"/>
    <col min="9228" max="9228" width="13.140625" style="1010" customWidth="1"/>
    <col min="9229" max="9229" width="14" style="1010" customWidth="1"/>
    <col min="9230" max="9230" width="17.28515625" style="1010" customWidth="1"/>
    <col min="9231" max="9231" width="16.42578125" style="1010" customWidth="1"/>
    <col min="9232" max="9233" width="15.42578125" style="1010" customWidth="1"/>
    <col min="9234" max="9234" width="25.7109375" style="1010" customWidth="1"/>
    <col min="9235" max="9235" width="31.7109375" style="1010" customWidth="1"/>
    <col min="9236" max="9236" width="34.140625" style="1010" customWidth="1"/>
    <col min="9237" max="9237" width="37.7109375" style="1010" customWidth="1"/>
    <col min="9238" max="9238" width="48.7109375" style="1010" customWidth="1"/>
    <col min="9239" max="9239" width="29.42578125" style="1010" customWidth="1"/>
    <col min="9240" max="9472" width="11.5703125" style="1010"/>
    <col min="9473" max="9473" width="5.42578125" style="1010" customWidth="1"/>
    <col min="9474" max="9474" width="34.42578125" style="1010" customWidth="1"/>
    <col min="9475" max="9475" width="27.7109375" style="1010" customWidth="1"/>
    <col min="9476" max="9476" width="18.140625" style="1010" customWidth="1"/>
    <col min="9477" max="9477" width="24" style="1010" customWidth="1"/>
    <col min="9478" max="9478" width="16" style="1010" customWidth="1"/>
    <col min="9479" max="9479" width="16.140625" style="1010" customWidth="1"/>
    <col min="9480" max="9480" width="15.7109375" style="1010" customWidth="1"/>
    <col min="9481" max="9481" width="17.42578125" style="1010" customWidth="1"/>
    <col min="9482" max="9483" width="16.7109375" style="1010" customWidth="1"/>
    <col min="9484" max="9484" width="13.140625" style="1010" customWidth="1"/>
    <col min="9485" max="9485" width="14" style="1010" customWidth="1"/>
    <col min="9486" max="9486" width="17.28515625" style="1010" customWidth="1"/>
    <col min="9487" max="9487" width="16.42578125" style="1010" customWidth="1"/>
    <col min="9488" max="9489" width="15.42578125" style="1010" customWidth="1"/>
    <col min="9490" max="9490" width="25.7109375" style="1010" customWidth="1"/>
    <col min="9491" max="9491" width="31.7109375" style="1010" customWidth="1"/>
    <col min="9492" max="9492" width="34.140625" style="1010" customWidth="1"/>
    <col min="9493" max="9493" width="37.7109375" style="1010" customWidth="1"/>
    <col min="9494" max="9494" width="48.7109375" style="1010" customWidth="1"/>
    <col min="9495" max="9495" width="29.42578125" style="1010" customWidth="1"/>
    <col min="9496" max="9728" width="11.5703125" style="1010"/>
    <col min="9729" max="9729" width="5.42578125" style="1010" customWidth="1"/>
    <col min="9730" max="9730" width="34.42578125" style="1010" customWidth="1"/>
    <col min="9731" max="9731" width="27.7109375" style="1010" customWidth="1"/>
    <col min="9732" max="9732" width="18.140625" style="1010" customWidth="1"/>
    <col min="9733" max="9733" width="24" style="1010" customWidth="1"/>
    <col min="9734" max="9734" width="16" style="1010" customWidth="1"/>
    <col min="9735" max="9735" width="16.140625" style="1010" customWidth="1"/>
    <col min="9736" max="9736" width="15.7109375" style="1010" customWidth="1"/>
    <col min="9737" max="9737" width="17.42578125" style="1010" customWidth="1"/>
    <col min="9738" max="9739" width="16.7109375" style="1010" customWidth="1"/>
    <col min="9740" max="9740" width="13.140625" style="1010" customWidth="1"/>
    <col min="9741" max="9741" width="14" style="1010" customWidth="1"/>
    <col min="9742" max="9742" width="17.28515625" style="1010" customWidth="1"/>
    <col min="9743" max="9743" width="16.42578125" style="1010" customWidth="1"/>
    <col min="9744" max="9745" width="15.42578125" style="1010" customWidth="1"/>
    <col min="9746" max="9746" width="25.7109375" style="1010" customWidth="1"/>
    <col min="9747" max="9747" width="31.7109375" style="1010" customWidth="1"/>
    <col min="9748" max="9748" width="34.140625" style="1010" customWidth="1"/>
    <col min="9749" max="9749" width="37.7109375" style="1010" customWidth="1"/>
    <col min="9750" max="9750" width="48.7109375" style="1010" customWidth="1"/>
    <col min="9751" max="9751" width="29.42578125" style="1010" customWidth="1"/>
    <col min="9752" max="9984" width="11.5703125" style="1010"/>
    <col min="9985" max="9985" width="5.42578125" style="1010" customWidth="1"/>
    <col min="9986" max="9986" width="34.42578125" style="1010" customWidth="1"/>
    <col min="9987" max="9987" width="27.7109375" style="1010" customWidth="1"/>
    <col min="9988" max="9988" width="18.140625" style="1010" customWidth="1"/>
    <col min="9989" max="9989" width="24" style="1010" customWidth="1"/>
    <col min="9990" max="9990" width="16" style="1010" customWidth="1"/>
    <col min="9991" max="9991" width="16.140625" style="1010" customWidth="1"/>
    <col min="9992" max="9992" width="15.7109375" style="1010" customWidth="1"/>
    <col min="9993" max="9993" width="17.42578125" style="1010" customWidth="1"/>
    <col min="9994" max="9995" width="16.7109375" style="1010" customWidth="1"/>
    <col min="9996" max="9996" width="13.140625" style="1010" customWidth="1"/>
    <col min="9997" max="9997" width="14" style="1010" customWidth="1"/>
    <col min="9998" max="9998" width="17.28515625" style="1010" customWidth="1"/>
    <col min="9999" max="9999" width="16.42578125" style="1010" customWidth="1"/>
    <col min="10000" max="10001" width="15.42578125" style="1010" customWidth="1"/>
    <col min="10002" max="10002" width="25.7109375" style="1010" customWidth="1"/>
    <col min="10003" max="10003" width="31.7109375" style="1010" customWidth="1"/>
    <col min="10004" max="10004" width="34.140625" style="1010" customWidth="1"/>
    <col min="10005" max="10005" width="37.7109375" style="1010" customWidth="1"/>
    <col min="10006" max="10006" width="48.7109375" style="1010" customWidth="1"/>
    <col min="10007" max="10007" width="29.42578125" style="1010" customWidth="1"/>
    <col min="10008" max="10240" width="11.5703125" style="1010"/>
    <col min="10241" max="10241" width="5.42578125" style="1010" customWidth="1"/>
    <col min="10242" max="10242" width="34.42578125" style="1010" customWidth="1"/>
    <col min="10243" max="10243" width="27.7109375" style="1010" customWidth="1"/>
    <col min="10244" max="10244" width="18.140625" style="1010" customWidth="1"/>
    <col min="10245" max="10245" width="24" style="1010" customWidth="1"/>
    <col min="10246" max="10246" width="16" style="1010" customWidth="1"/>
    <col min="10247" max="10247" width="16.140625" style="1010" customWidth="1"/>
    <col min="10248" max="10248" width="15.7109375" style="1010" customWidth="1"/>
    <col min="10249" max="10249" width="17.42578125" style="1010" customWidth="1"/>
    <col min="10250" max="10251" width="16.7109375" style="1010" customWidth="1"/>
    <col min="10252" max="10252" width="13.140625" style="1010" customWidth="1"/>
    <col min="10253" max="10253" width="14" style="1010" customWidth="1"/>
    <col min="10254" max="10254" width="17.28515625" style="1010" customWidth="1"/>
    <col min="10255" max="10255" width="16.42578125" style="1010" customWidth="1"/>
    <col min="10256" max="10257" width="15.42578125" style="1010" customWidth="1"/>
    <col min="10258" max="10258" width="25.7109375" style="1010" customWidth="1"/>
    <col min="10259" max="10259" width="31.7109375" style="1010" customWidth="1"/>
    <col min="10260" max="10260" width="34.140625" style="1010" customWidth="1"/>
    <col min="10261" max="10261" width="37.7109375" style="1010" customWidth="1"/>
    <col min="10262" max="10262" width="48.7109375" style="1010" customWidth="1"/>
    <col min="10263" max="10263" width="29.42578125" style="1010" customWidth="1"/>
    <col min="10264" max="10496" width="11.5703125" style="1010"/>
    <col min="10497" max="10497" width="5.42578125" style="1010" customWidth="1"/>
    <col min="10498" max="10498" width="34.42578125" style="1010" customWidth="1"/>
    <col min="10499" max="10499" width="27.7109375" style="1010" customWidth="1"/>
    <col min="10500" max="10500" width="18.140625" style="1010" customWidth="1"/>
    <col min="10501" max="10501" width="24" style="1010" customWidth="1"/>
    <col min="10502" max="10502" width="16" style="1010" customWidth="1"/>
    <col min="10503" max="10503" width="16.140625" style="1010" customWidth="1"/>
    <col min="10504" max="10504" width="15.7109375" style="1010" customWidth="1"/>
    <col min="10505" max="10505" width="17.42578125" style="1010" customWidth="1"/>
    <col min="10506" max="10507" width="16.7109375" style="1010" customWidth="1"/>
    <col min="10508" max="10508" width="13.140625" style="1010" customWidth="1"/>
    <col min="10509" max="10509" width="14" style="1010" customWidth="1"/>
    <col min="10510" max="10510" width="17.28515625" style="1010" customWidth="1"/>
    <col min="10511" max="10511" width="16.42578125" style="1010" customWidth="1"/>
    <col min="10512" max="10513" width="15.42578125" style="1010" customWidth="1"/>
    <col min="10514" max="10514" width="25.7109375" style="1010" customWidth="1"/>
    <col min="10515" max="10515" width="31.7109375" style="1010" customWidth="1"/>
    <col min="10516" max="10516" width="34.140625" style="1010" customWidth="1"/>
    <col min="10517" max="10517" width="37.7109375" style="1010" customWidth="1"/>
    <col min="10518" max="10518" width="48.7109375" style="1010" customWidth="1"/>
    <col min="10519" max="10519" width="29.42578125" style="1010" customWidth="1"/>
    <col min="10520" max="10752" width="11.5703125" style="1010"/>
    <col min="10753" max="10753" width="5.42578125" style="1010" customWidth="1"/>
    <col min="10754" max="10754" width="34.42578125" style="1010" customWidth="1"/>
    <col min="10755" max="10755" width="27.7109375" style="1010" customWidth="1"/>
    <col min="10756" max="10756" width="18.140625" style="1010" customWidth="1"/>
    <col min="10757" max="10757" width="24" style="1010" customWidth="1"/>
    <col min="10758" max="10758" width="16" style="1010" customWidth="1"/>
    <col min="10759" max="10759" width="16.140625" style="1010" customWidth="1"/>
    <col min="10760" max="10760" width="15.7109375" style="1010" customWidth="1"/>
    <col min="10761" max="10761" width="17.42578125" style="1010" customWidth="1"/>
    <col min="10762" max="10763" width="16.7109375" style="1010" customWidth="1"/>
    <col min="10764" max="10764" width="13.140625" style="1010" customWidth="1"/>
    <col min="10765" max="10765" width="14" style="1010" customWidth="1"/>
    <col min="10766" max="10766" width="17.28515625" style="1010" customWidth="1"/>
    <col min="10767" max="10767" width="16.42578125" style="1010" customWidth="1"/>
    <col min="10768" max="10769" width="15.42578125" style="1010" customWidth="1"/>
    <col min="10770" max="10770" width="25.7109375" style="1010" customWidth="1"/>
    <col min="10771" max="10771" width="31.7109375" style="1010" customWidth="1"/>
    <col min="10772" max="10772" width="34.140625" style="1010" customWidth="1"/>
    <col min="10773" max="10773" width="37.7109375" style="1010" customWidth="1"/>
    <col min="10774" max="10774" width="48.7109375" style="1010" customWidth="1"/>
    <col min="10775" max="10775" width="29.42578125" style="1010" customWidth="1"/>
    <col min="10776" max="11008" width="11.5703125" style="1010"/>
    <col min="11009" max="11009" width="5.42578125" style="1010" customWidth="1"/>
    <col min="11010" max="11010" width="34.42578125" style="1010" customWidth="1"/>
    <col min="11011" max="11011" width="27.7109375" style="1010" customWidth="1"/>
    <col min="11012" max="11012" width="18.140625" style="1010" customWidth="1"/>
    <col min="11013" max="11013" width="24" style="1010" customWidth="1"/>
    <col min="11014" max="11014" width="16" style="1010" customWidth="1"/>
    <col min="11015" max="11015" width="16.140625" style="1010" customWidth="1"/>
    <col min="11016" max="11016" width="15.7109375" style="1010" customWidth="1"/>
    <col min="11017" max="11017" width="17.42578125" style="1010" customWidth="1"/>
    <col min="11018" max="11019" width="16.7109375" style="1010" customWidth="1"/>
    <col min="11020" max="11020" width="13.140625" style="1010" customWidth="1"/>
    <col min="11021" max="11021" width="14" style="1010" customWidth="1"/>
    <col min="11022" max="11022" width="17.28515625" style="1010" customWidth="1"/>
    <col min="11023" max="11023" width="16.42578125" style="1010" customWidth="1"/>
    <col min="11024" max="11025" width="15.42578125" style="1010" customWidth="1"/>
    <col min="11026" max="11026" width="25.7109375" style="1010" customWidth="1"/>
    <col min="11027" max="11027" width="31.7109375" style="1010" customWidth="1"/>
    <col min="11028" max="11028" width="34.140625" style="1010" customWidth="1"/>
    <col min="11029" max="11029" width="37.7109375" style="1010" customWidth="1"/>
    <col min="11030" max="11030" width="48.7109375" style="1010" customWidth="1"/>
    <col min="11031" max="11031" width="29.42578125" style="1010" customWidth="1"/>
    <col min="11032" max="11264" width="11.5703125" style="1010"/>
    <col min="11265" max="11265" width="5.42578125" style="1010" customWidth="1"/>
    <col min="11266" max="11266" width="34.42578125" style="1010" customWidth="1"/>
    <col min="11267" max="11267" width="27.7109375" style="1010" customWidth="1"/>
    <col min="11268" max="11268" width="18.140625" style="1010" customWidth="1"/>
    <col min="11269" max="11269" width="24" style="1010" customWidth="1"/>
    <col min="11270" max="11270" width="16" style="1010" customWidth="1"/>
    <col min="11271" max="11271" width="16.140625" style="1010" customWidth="1"/>
    <col min="11272" max="11272" width="15.7109375" style="1010" customWidth="1"/>
    <col min="11273" max="11273" width="17.42578125" style="1010" customWidth="1"/>
    <col min="11274" max="11275" width="16.7109375" style="1010" customWidth="1"/>
    <col min="11276" max="11276" width="13.140625" style="1010" customWidth="1"/>
    <col min="11277" max="11277" width="14" style="1010" customWidth="1"/>
    <col min="11278" max="11278" width="17.28515625" style="1010" customWidth="1"/>
    <col min="11279" max="11279" width="16.42578125" style="1010" customWidth="1"/>
    <col min="11280" max="11281" width="15.42578125" style="1010" customWidth="1"/>
    <col min="11282" max="11282" width="25.7109375" style="1010" customWidth="1"/>
    <col min="11283" max="11283" width="31.7109375" style="1010" customWidth="1"/>
    <col min="11284" max="11284" width="34.140625" style="1010" customWidth="1"/>
    <col min="11285" max="11285" width="37.7109375" style="1010" customWidth="1"/>
    <col min="11286" max="11286" width="48.7109375" style="1010" customWidth="1"/>
    <col min="11287" max="11287" width="29.42578125" style="1010" customWidth="1"/>
    <col min="11288" max="11520" width="11.5703125" style="1010"/>
    <col min="11521" max="11521" width="5.42578125" style="1010" customWidth="1"/>
    <col min="11522" max="11522" width="34.42578125" style="1010" customWidth="1"/>
    <col min="11523" max="11523" width="27.7109375" style="1010" customWidth="1"/>
    <col min="11524" max="11524" width="18.140625" style="1010" customWidth="1"/>
    <col min="11525" max="11525" width="24" style="1010" customWidth="1"/>
    <col min="11526" max="11526" width="16" style="1010" customWidth="1"/>
    <col min="11527" max="11527" width="16.140625" style="1010" customWidth="1"/>
    <col min="11528" max="11528" width="15.7109375" style="1010" customWidth="1"/>
    <col min="11529" max="11529" width="17.42578125" style="1010" customWidth="1"/>
    <col min="11530" max="11531" width="16.7109375" style="1010" customWidth="1"/>
    <col min="11532" max="11532" width="13.140625" style="1010" customWidth="1"/>
    <col min="11533" max="11533" width="14" style="1010" customWidth="1"/>
    <col min="11534" max="11534" width="17.28515625" style="1010" customWidth="1"/>
    <col min="11535" max="11535" width="16.42578125" style="1010" customWidth="1"/>
    <col min="11536" max="11537" width="15.42578125" style="1010" customWidth="1"/>
    <col min="11538" max="11538" width="25.7109375" style="1010" customWidth="1"/>
    <col min="11539" max="11539" width="31.7109375" style="1010" customWidth="1"/>
    <col min="11540" max="11540" width="34.140625" style="1010" customWidth="1"/>
    <col min="11541" max="11541" width="37.7109375" style="1010" customWidth="1"/>
    <col min="11542" max="11542" width="48.7109375" style="1010" customWidth="1"/>
    <col min="11543" max="11543" width="29.42578125" style="1010" customWidth="1"/>
    <col min="11544" max="11776" width="11.5703125" style="1010"/>
    <col min="11777" max="11777" width="5.42578125" style="1010" customWidth="1"/>
    <col min="11778" max="11778" width="34.42578125" style="1010" customWidth="1"/>
    <col min="11779" max="11779" width="27.7109375" style="1010" customWidth="1"/>
    <col min="11780" max="11780" width="18.140625" style="1010" customWidth="1"/>
    <col min="11781" max="11781" width="24" style="1010" customWidth="1"/>
    <col min="11782" max="11782" width="16" style="1010" customWidth="1"/>
    <col min="11783" max="11783" width="16.140625" style="1010" customWidth="1"/>
    <col min="11784" max="11784" width="15.7109375" style="1010" customWidth="1"/>
    <col min="11785" max="11785" width="17.42578125" style="1010" customWidth="1"/>
    <col min="11786" max="11787" width="16.7109375" style="1010" customWidth="1"/>
    <col min="11788" max="11788" width="13.140625" style="1010" customWidth="1"/>
    <col min="11789" max="11789" width="14" style="1010" customWidth="1"/>
    <col min="11790" max="11790" width="17.28515625" style="1010" customWidth="1"/>
    <col min="11791" max="11791" width="16.42578125" style="1010" customWidth="1"/>
    <col min="11792" max="11793" width="15.42578125" style="1010" customWidth="1"/>
    <col min="11794" max="11794" width="25.7109375" style="1010" customWidth="1"/>
    <col min="11795" max="11795" width="31.7109375" style="1010" customWidth="1"/>
    <col min="11796" max="11796" width="34.140625" style="1010" customWidth="1"/>
    <col min="11797" max="11797" width="37.7109375" style="1010" customWidth="1"/>
    <col min="11798" max="11798" width="48.7109375" style="1010" customWidth="1"/>
    <col min="11799" max="11799" width="29.42578125" style="1010" customWidth="1"/>
    <col min="11800" max="12032" width="11.5703125" style="1010"/>
    <col min="12033" max="12033" width="5.42578125" style="1010" customWidth="1"/>
    <col min="12034" max="12034" width="34.42578125" style="1010" customWidth="1"/>
    <col min="12035" max="12035" width="27.7109375" style="1010" customWidth="1"/>
    <col min="12036" max="12036" width="18.140625" style="1010" customWidth="1"/>
    <col min="12037" max="12037" width="24" style="1010" customWidth="1"/>
    <col min="12038" max="12038" width="16" style="1010" customWidth="1"/>
    <col min="12039" max="12039" width="16.140625" style="1010" customWidth="1"/>
    <col min="12040" max="12040" width="15.7109375" style="1010" customWidth="1"/>
    <col min="12041" max="12041" width="17.42578125" style="1010" customWidth="1"/>
    <col min="12042" max="12043" width="16.7109375" style="1010" customWidth="1"/>
    <col min="12044" max="12044" width="13.140625" style="1010" customWidth="1"/>
    <col min="12045" max="12045" width="14" style="1010" customWidth="1"/>
    <col min="12046" max="12046" width="17.28515625" style="1010" customWidth="1"/>
    <col min="12047" max="12047" width="16.42578125" style="1010" customWidth="1"/>
    <col min="12048" max="12049" width="15.42578125" style="1010" customWidth="1"/>
    <col min="12050" max="12050" width="25.7109375" style="1010" customWidth="1"/>
    <col min="12051" max="12051" width="31.7109375" style="1010" customWidth="1"/>
    <col min="12052" max="12052" width="34.140625" style="1010" customWidth="1"/>
    <col min="12053" max="12053" width="37.7109375" style="1010" customWidth="1"/>
    <col min="12054" max="12054" width="48.7109375" style="1010" customWidth="1"/>
    <col min="12055" max="12055" width="29.42578125" style="1010" customWidth="1"/>
    <col min="12056" max="12288" width="11.5703125" style="1010"/>
    <col min="12289" max="12289" width="5.42578125" style="1010" customWidth="1"/>
    <col min="12290" max="12290" width="34.42578125" style="1010" customWidth="1"/>
    <col min="12291" max="12291" width="27.7109375" style="1010" customWidth="1"/>
    <col min="12292" max="12292" width="18.140625" style="1010" customWidth="1"/>
    <col min="12293" max="12293" width="24" style="1010" customWidth="1"/>
    <col min="12294" max="12294" width="16" style="1010" customWidth="1"/>
    <col min="12295" max="12295" width="16.140625" style="1010" customWidth="1"/>
    <col min="12296" max="12296" width="15.7109375" style="1010" customWidth="1"/>
    <col min="12297" max="12297" width="17.42578125" style="1010" customWidth="1"/>
    <col min="12298" max="12299" width="16.7109375" style="1010" customWidth="1"/>
    <col min="12300" max="12300" width="13.140625" style="1010" customWidth="1"/>
    <col min="12301" max="12301" width="14" style="1010" customWidth="1"/>
    <col min="12302" max="12302" width="17.28515625" style="1010" customWidth="1"/>
    <col min="12303" max="12303" width="16.42578125" style="1010" customWidth="1"/>
    <col min="12304" max="12305" width="15.42578125" style="1010" customWidth="1"/>
    <col min="12306" max="12306" width="25.7109375" style="1010" customWidth="1"/>
    <col min="12307" max="12307" width="31.7109375" style="1010" customWidth="1"/>
    <col min="12308" max="12308" width="34.140625" style="1010" customWidth="1"/>
    <col min="12309" max="12309" width="37.7109375" style="1010" customWidth="1"/>
    <col min="12310" max="12310" width="48.7109375" style="1010" customWidth="1"/>
    <col min="12311" max="12311" width="29.42578125" style="1010" customWidth="1"/>
    <col min="12312" max="12544" width="11.5703125" style="1010"/>
    <col min="12545" max="12545" width="5.42578125" style="1010" customWidth="1"/>
    <col min="12546" max="12546" width="34.42578125" style="1010" customWidth="1"/>
    <col min="12547" max="12547" width="27.7109375" style="1010" customWidth="1"/>
    <col min="12548" max="12548" width="18.140625" style="1010" customWidth="1"/>
    <col min="12549" max="12549" width="24" style="1010" customWidth="1"/>
    <col min="12550" max="12550" width="16" style="1010" customWidth="1"/>
    <col min="12551" max="12551" width="16.140625" style="1010" customWidth="1"/>
    <col min="12552" max="12552" width="15.7109375" style="1010" customWidth="1"/>
    <col min="12553" max="12553" width="17.42578125" style="1010" customWidth="1"/>
    <col min="12554" max="12555" width="16.7109375" style="1010" customWidth="1"/>
    <col min="12556" max="12556" width="13.140625" style="1010" customWidth="1"/>
    <col min="12557" max="12557" width="14" style="1010" customWidth="1"/>
    <col min="12558" max="12558" width="17.28515625" style="1010" customWidth="1"/>
    <col min="12559" max="12559" width="16.42578125" style="1010" customWidth="1"/>
    <col min="12560" max="12561" width="15.42578125" style="1010" customWidth="1"/>
    <col min="12562" max="12562" width="25.7109375" style="1010" customWidth="1"/>
    <col min="12563" max="12563" width="31.7109375" style="1010" customWidth="1"/>
    <col min="12564" max="12564" width="34.140625" style="1010" customWidth="1"/>
    <col min="12565" max="12565" width="37.7109375" style="1010" customWidth="1"/>
    <col min="12566" max="12566" width="48.7109375" style="1010" customWidth="1"/>
    <col min="12567" max="12567" width="29.42578125" style="1010" customWidth="1"/>
    <col min="12568" max="12800" width="11.5703125" style="1010"/>
    <col min="12801" max="12801" width="5.42578125" style="1010" customWidth="1"/>
    <col min="12802" max="12802" width="34.42578125" style="1010" customWidth="1"/>
    <col min="12803" max="12803" width="27.7109375" style="1010" customWidth="1"/>
    <col min="12804" max="12804" width="18.140625" style="1010" customWidth="1"/>
    <col min="12805" max="12805" width="24" style="1010" customWidth="1"/>
    <col min="12806" max="12806" width="16" style="1010" customWidth="1"/>
    <col min="12807" max="12807" width="16.140625" style="1010" customWidth="1"/>
    <col min="12808" max="12808" width="15.7109375" style="1010" customWidth="1"/>
    <col min="12809" max="12809" width="17.42578125" style="1010" customWidth="1"/>
    <col min="12810" max="12811" width="16.7109375" style="1010" customWidth="1"/>
    <col min="12812" max="12812" width="13.140625" style="1010" customWidth="1"/>
    <col min="12813" max="12813" width="14" style="1010" customWidth="1"/>
    <col min="12814" max="12814" width="17.28515625" style="1010" customWidth="1"/>
    <col min="12815" max="12815" width="16.42578125" style="1010" customWidth="1"/>
    <col min="12816" max="12817" width="15.42578125" style="1010" customWidth="1"/>
    <col min="12818" max="12818" width="25.7109375" style="1010" customWidth="1"/>
    <col min="12819" max="12819" width="31.7109375" style="1010" customWidth="1"/>
    <col min="12820" max="12820" width="34.140625" style="1010" customWidth="1"/>
    <col min="12821" max="12821" width="37.7109375" style="1010" customWidth="1"/>
    <col min="12822" max="12822" width="48.7109375" style="1010" customWidth="1"/>
    <col min="12823" max="12823" width="29.42578125" style="1010" customWidth="1"/>
    <col min="12824" max="13056" width="11.5703125" style="1010"/>
    <col min="13057" max="13057" width="5.42578125" style="1010" customWidth="1"/>
    <col min="13058" max="13058" width="34.42578125" style="1010" customWidth="1"/>
    <col min="13059" max="13059" width="27.7109375" style="1010" customWidth="1"/>
    <col min="13060" max="13060" width="18.140625" style="1010" customWidth="1"/>
    <col min="13061" max="13061" width="24" style="1010" customWidth="1"/>
    <col min="13062" max="13062" width="16" style="1010" customWidth="1"/>
    <col min="13063" max="13063" width="16.140625" style="1010" customWidth="1"/>
    <col min="13064" max="13064" width="15.7109375" style="1010" customWidth="1"/>
    <col min="13065" max="13065" width="17.42578125" style="1010" customWidth="1"/>
    <col min="13066" max="13067" width="16.7109375" style="1010" customWidth="1"/>
    <col min="13068" max="13068" width="13.140625" style="1010" customWidth="1"/>
    <col min="13069" max="13069" width="14" style="1010" customWidth="1"/>
    <col min="13070" max="13070" width="17.28515625" style="1010" customWidth="1"/>
    <col min="13071" max="13071" width="16.42578125" style="1010" customWidth="1"/>
    <col min="13072" max="13073" width="15.42578125" style="1010" customWidth="1"/>
    <col min="13074" max="13074" width="25.7109375" style="1010" customWidth="1"/>
    <col min="13075" max="13075" width="31.7109375" style="1010" customWidth="1"/>
    <col min="13076" max="13076" width="34.140625" style="1010" customWidth="1"/>
    <col min="13077" max="13077" width="37.7109375" style="1010" customWidth="1"/>
    <col min="13078" max="13078" width="48.7109375" style="1010" customWidth="1"/>
    <col min="13079" max="13079" width="29.42578125" style="1010" customWidth="1"/>
    <col min="13080" max="13312" width="11.5703125" style="1010"/>
    <col min="13313" max="13313" width="5.42578125" style="1010" customWidth="1"/>
    <col min="13314" max="13314" width="34.42578125" style="1010" customWidth="1"/>
    <col min="13315" max="13315" width="27.7109375" style="1010" customWidth="1"/>
    <col min="13316" max="13316" width="18.140625" style="1010" customWidth="1"/>
    <col min="13317" max="13317" width="24" style="1010" customWidth="1"/>
    <col min="13318" max="13318" width="16" style="1010" customWidth="1"/>
    <col min="13319" max="13319" width="16.140625" style="1010" customWidth="1"/>
    <col min="13320" max="13320" width="15.7109375" style="1010" customWidth="1"/>
    <col min="13321" max="13321" width="17.42578125" style="1010" customWidth="1"/>
    <col min="13322" max="13323" width="16.7109375" style="1010" customWidth="1"/>
    <col min="13324" max="13324" width="13.140625" style="1010" customWidth="1"/>
    <col min="13325" max="13325" width="14" style="1010" customWidth="1"/>
    <col min="13326" max="13326" width="17.28515625" style="1010" customWidth="1"/>
    <col min="13327" max="13327" width="16.42578125" style="1010" customWidth="1"/>
    <col min="13328" max="13329" width="15.42578125" style="1010" customWidth="1"/>
    <col min="13330" max="13330" width="25.7109375" style="1010" customWidth="1"/>
    <col min="13331" max="13331" width="31.7109375" style="1010" customWidth="1"/>
    <col min="13332" max="13332" width="34.140625" style="1010" customWidth="1"/>
    <col min="13333" max="13333" width="37.7109375" style="1010" customWidth="1"/>
    <col min="13334" max="13334" width="48.7109375" style="1010" customWidth="1"/>
    <col min="13335" max="13335" width="29.42578125" style="1010" customWidth="1"/>
    <col min="13336" max="13568" width="11.5703125" style="1010"/>
    <col min="13569" max="13569" width="5.42578125" style="1010" customWidth="1"/>
    <col min="13570" max="13570" width="34.42578125" style="1010" customWidth="1"/>
    <col min="13571" max="13571" width="27.7109375" style="1010" customWidth="1"/>
    <col min="13572" max="13572" width="18.140625" style="1010" customWidth="1"/>
    <col min="13573" max="13573" width="24" style="1010" customWidth="1"/>
    <col min="13574" max="13574" width="16" style="1010" customWidth="1"/>
    <col min="13575" max="13575" width="16.140625" style="1010" customWidth="1"/>
    <col min="13576" max="13576" width="15.7109375" style="1010" customWidth="1"/>
    <col min="13577" max="13577" width="17.42578125" style="1010" customWidth="1"/>
    <col min="13578" max="13579" width="16.7109375" style="1010" customWidth="1"/>
    <col min="13580" max="13580" width="13.140625" style="1010" customWidth="1"/>
    <col min="13581" max="13581" width="14" style="1010" customWidth="1"/>
    <col min="13582" max="13582" width="17.28515625" style="1010" customWidth="1"/>
    <col min="13583" max="13583" width="16.42578125" style="1010" customWidth="1"/>
    <col min="13584" max="13585" width="15.42578125" style="1010" customWidth="1"/>
    <col min="13586" max="13586" width="25.7109375" style="1010" customWidth="1"/>
    <col min="13587" max="13587" width="31.7109375" style="1010" customWidth="1"/>
    <col min="13588" max="13588" width="34.140625" style="1010" customWidth="1"/>
    <col min="13589" max="13589" width="37.7109375" style="1010" customWidth="1"/>
    <col min="13590" max="13590" width="48.7109375" style="1010" customWidth="1"/>
    <col min="13591" max="13591" width="29.42578125" style="1010" customWidth="1"/>
    <col min="13592" max="13824" width="11.5703125" style="1010"/>
    <col min="13825" max="13825" width="5.42578125" style="1010" customWidth="1"/>
    <col min="13826" max="13826" width="34.42578125" style="1010" customWidth="1"/>
    <col min="13827" max="13827" width="27.7109375" style="1010" customWidth="1"/>
    <col min="13828" max="13828" width="18.140625" style="1010" customWidth="1"/>
    <col min="13829" max="13829" width="24" style="1010" customWidth="1"/>
    <col min="13830" max="13830" width="16" style="1010" customWidth="1"/>
    <col min="13831" max="13831" width="16.140625" style="1010" customWidth="1"/>
    <col min="13832" max="13832" width="15.7109375" style="1010" customWidth="1"/>
    <col min="13833" max="13833" width="17.42578125" style="1010" customWidth="1"/>
    <col min="13834" max="13835" width="16.7109375" style="1010" customWidth="1"/>
    <col min="13836" max="13836" width="13.140625" style="1010" customWidth="1"/>
    <col min="13837" max="13837" width="14" style="1010" customWidth="1"/>
    <col min="13838" max="13838" width="17.28515625" style="1010" customWidth="1"/>
    <col min="13839" max="13839" width="16.42578125" style="1010" customWidth="1"/>
    <col min="13840" max="13841" width="15.42578125" style="1010" customWidth="1"/>
    <col min="13842" max="13842" width="25.7109375" style="1010" customWidth="1"/>
    <col min="13843" max="13843" width="31.7109375" style="1010" customWidth="1"/>
    <col min="13844" max="13844" width="34.140625" style="1010" customWidth="1"/>
    <col min="13845" max="13845" width="37.7109375" style="1010" customWidth="1"/>
    <col min="13846" max="13846" width="48.7109375" style="1010" customWidth="1"/>
    <col min="13847" max="13847" width="29.42578125" style="1010" customWidth="1"/>
    <col min="13848" max="14080" width="11.5703125" style="1010"/>
    <col min="14081" max="14081" width="5.42578125" style="1010" customWidth="1"/>
    <col min="14082" max="14082" width="34.42578125" style="1010" customWidth="1"/>
    <col min="14083" max="14083" width="27.7109375" style="1010" customWidth="1"/>
    <col min="14084" max="14084" width="18.140625" style="1010" customWidth="1"/>
    <col min="14085" max="14085" width="24" style="1010" customWidth="1"/>
    <col min="14086" max="14086" width="16" style="1010" customWidth="1"/>
    <col min="14087" max="14087" width="16.140625" style="1010" customWidth="1"/>
    <col min="14088" max="14088" width="15.7109375" style="1010" customWidth="1"/>
    <col min="14089" max="14089" width="17.42578125" style="1010" customWidth="1"/>
    <col min="14090" max="14091" width="16.7109375" style="1010" customWidth="1"/>
    <col min="14092" max="14092" width="13.140625" style="1010" customWidth="1"/>
    <col min="14093" max="14093" width="14" style="1010" customWidth="1"/>
    <col min="14094" max="14094" width="17.28515625" style="1010" customWidth="1"/>
    <col min="14095" max="14095" width="16.42578125" style="1010" customWidth="1"/>
    <col min="14096" max="14097" width="15.42578125" style="1010" customWidth="1"/>
    <col min="14098" max="14098" width="25.7109375" style="1010" customWidth="1"/>
    <col min="14099" max="14099" width="31.7109375" style="1010" customWidth="1"/>
    <col min="14100" max="14100" width="34.140625" style="1010" customWidth="1"/>
    <col min="14101" max="14101" width="37.7109375" style="1010" customWidth="1"/>
    <col min="14102" max="14102" width="48.7109375" style="1010" customWidth="1"/>
    <col min="14103" max="14103" width="29.42578125" style="1010" customWidth="1"/>
    <col min="14104" max="14336" width="11.5703125" style="1010"/>
    <col min="14337" max="14337" width="5.42578125" style="1010" customWidth="1"/>
    <col min="14338" max="14338" width="34.42578125" style="1010" customWidth="1"/>
    <col min="14339" max="14339" width="27.7109375" style="1010" customWidth="1"/>
    <col min="14340" max="14340" width="18.140625" style="1010" customWidth="1"/>
    <col min="14341" max="14341" width="24" style="1010" customWidth="1"/>
    <col min="14342" max="14342" width="16" style="1010" customWidth="1"/>
    <col min="14343" max="14343" width="16.140625" style="1010" customWidth="1"/>
    <col min="14344" max="14344" width="15.7109375" style="1010" customWidth="1"/>
    <col min="14345" max="14345" width="17.42578125" style="1010" customWidth="1"/>
    <col min="14346" max="14347" width="16.7109375" style="1010" customWidth="1"/>
    <col min="14348" max="14348" width="13.140625" style="1010" customWidth="1"/>
    <col min="14349" max="14349" width="14" style="1010" customWidth="1"/>
    <col min="14350" max="14350" width="17.28515625" style="1010" customWidth="1"/>
    <col min="14351" max="14351" width="16.42578125" style="1010" customWidth="1"/>
    <col min="14352" max="14353" width="15.42578125" style="1010" customWidth="1"/>
    <col min="14354" max="14354" width="25.7109375" style="1010" customWidth="1"/>
    <col min="14355" max="14355" width="31.7109375" style="1010" customWidth="1"/>
    <col min="14356" max="14356" width="34.140625" style="1010" customWidth="1"/>
    <col min="14357" max="14357" width="37.7109375" style="1010" customWidth="1"/>
    <col min="14358" max="14358" width="48.7109375" style="1010" customWidth="1"/>
    <col min="14359" max="14359" width="29.42578125" style="1010" customWidth="1"/>
    <col min="14360" max="14592" width="11.5703125" style="1010"/>
    <col min="14593" max="14593" width="5.42578125" style="1010" customWidth="1"/>
    <col min="14594" max="14594" width="34.42578125" style="1010" customWidth="1"/>
    <col min="14595" max="14595" width="27.7109375" style="1010" customWidth="1"/>
    <col min="14596" max="14596" width="18.140625" style="1010" customWidth="1"/>
    <col min="14597" max="14597" width="24" style="1010" customWidth="1"/>
    <col min="14598" max="14598" width="16" style="1010" customWidth="1"/>
    <col min="14599" max="14599" width="16.140625" style="1010" customWidth="1"/>
    <col min="14600" max="14600" width="15.7109375" style="1010" customWidth="1"/>
    <col min="14601" max="14601" width="17.42578125" style="1010" customWidth="1"/>
    <col min="14602" max="14603" width="16.7109375" style="1010" customWidth="1"/>
    <col min="14604" max="14604" width="13.140625" style="1010" customWidth="1"/>
    <col min="14605" max="14605" width="14" style="1010" customWidth="1"/>
    <col min="14606" max="14606" width="17.28515625" style="1010" customWidth="1"/>
    <col min="14607" max="14607" width="16.42578125" style="1010" customWidth="1"/>
    <col min="14608" max="14609" width="15.42578125" style="1010" customWidth="1"/>
    <col min="14610" max="14610" width="25.7109375" style="1010" customWidth="1"/>
    <col min="14611" max="14611" width="31.7109375" style="1010" customWidth="1"/>
    <col min="14612" max="14612" width="34.140625" style="1010" customWidth="1"/>
    <col min="14613" max="14613" width="37.7109375" style="1010" customWidth="1"/>
    <col min="14614" max="14614" width="48.7109375" style="1010" customWidth="1"/>
    <col min="14615" max="14615" width="29.42578125" style="1010" customWidth="1"/>
    <col min="14616" max="14848" width="11.5703125" style="1010"/>
    <col min="14849" max="14849" width="5.42578125" style="1010" customWidth="1"/>
    <col min="14850" max="14850" width="34.42578125" style="1010" customWidth="1"/>
    <col min="14851" max="14851" width="27.7109375" style="1010" customWidth="1"/>
    <col min="14852" max="14852" width="18.140625" style="1010" customWidth="1"/>
    <col min="14853" max="14853" width="24" style="1010" customWidth="1"/>
    <col min="14854" max="14854" width="16" style="1010" customWidth="1"/>
    <col min="14855" max="14855" width="16.140625" style="1010" customWidth="1"/>
    <col min="14856" max="14856" width="15.7109375" style="1010" customWidth="1"/>
    <col min="14857" max="14857" width="17.42578125" style="1010" customWidth="1"/>
    <col min="14858" max="14859" width="16.7109375" style="1010" customWidth="1"/>
    <col min="14860" max="14860" width="13.140625" style="1010" customWidth="1"/>
    <col min="14861" max="14861" width="14" style="1010" customWidth="1"/>
    <col min="14862" max="14862" width="17.28515625" style="1010" customWidth="1"/>
    <col min="14863" max="14863" width="16.42578125" style="1010" customWidth="1"/>
    <col min="14864" max="14865" width="15.42578125" style="1010" customWidth="1"/>
    <col min="14866" max="14866" width="25.7109375" style="1010" customWidth="1"/>
    <col min="14867" max="14867" width="31.7109375" style="1010" customWidth="1"/>
    <col min="14868" max="14868" width="34.140625" style="1010" customWidth="1"/>
    <col min="14869" max="14869" width="37.7109375" style="1010" customWidth="1"/>
    <col min="14870" max="14870" width="48.7109375" style="1010" customWidth="1"/>
    <col min="14871" max="14871" width="29.42578125" style="1010" customWidth="1"/>
    <col min="14872" max="15104" width="11.5703125" style="1010"/>
    <col min="15105" max="15105" width="5.42578125" style="1010" customWidth="1"/>
    <col min="15106" max="15106" width="34.42578125" style="1010" customWidth="1"/>
    <col min="15107" max="15107" width="27.7109375" style="1010" customWidth="1"/>
    <col min="15108" max="15108" width="18.140625" style="1010" customWidth="1"/>
    <col min="15109" max="15109" width="24" style="1010" customWidth="1"/>
    <col min="15110" max="15110" width="16" style="1010" customWidth="1"/>
    <col min="15111" max="15111" width="16.140625" style="1010" customWidth="1"/>
    <col min="15112" max="15112" width="15.7109375" style="1010" customWidth="1"/>
    <col min="15113" max="15113" width="17.42578125" style="1010" customWidth="1"/>
    <col min="15114" max="15115" width="16.7109375" style="1010" customWidth="1"/>
    <col min="15116" max="15116" width="13.140625" style="1010" customWidth="1"/>
    <col min="15117" max="15117" width="14" style="1010" customWidth="1"/>
    <col min="15118" max="15118" width="17.28515625" style="1010" customWidth="1"/>
    <col min="15119" max="15119" width="16.42578125" style="1010" customWidth="1"/>
    <col min="15120" max="15121" width="15.42578125" style="1010" customWidth="1"/>
    <col min="15122" max="15122" width="25.7109375" style="1010" customWidth="1"/>
    <col min="15123" max="15123" width="31.7109375" style="1010" customWidth="1"/>
    <col min="15124" max="15124" width="34.140625" style="1010" customWidth="1"/>
    <col min="15125" max="15125" width="37.7109375" style="1010" customWidth="1"/>
    <col min="15126" max="15126" width="48.7109375" style="1010" customWidth="1"/>
    <col min="15127" max="15127" width="29.42578125" style="1010" customWidth="1"/>
    <col min="15128" max="15360" width="11.5703125" style="1010"/>
    <col min="15361" max="15361" width="5.42578125" style="1010" customWidth="1"/>
    <col min="15362" max="15362" width="34.42578125" style="1010" customWidth="1"/>
    <col min="15363" max="15363" width="27.7109375" style="1010" customWidth="1"/>
    <col min="15364" max="15364" width="18.140625" style="1010" customWidth="1"/>
    <col min="15365" max="15365" width="24" style="1010" customWidth="1"/>
    <col min="15366" max="15366" width="16" style="1010" customWidth="1"/>
    <col min="15367" max="15367" width="16.140625" style="1010" customWidth="1"/>
    <col min="15368" max="15368" width="15.7109375" style="1010" customWidth="1"/>
    <col min="15369" max="15369" width="17.42578125" style="1010" customWidth="1"/>
    <col min="15370" max="15371" width="16.7109375" style="1010" customWidth="1"/>
    <col min="15372" max="15372" width="13.140625" style="1010" customWidth="1"/>
    <col min="15373" max="15373" width="14" style="1010" customWidth="1"/>
    <col min="15374" max="15374" width="17.28515625" style="1010" customWidth="1"/>
    <col min="15375" max="15375" width="16.42578125" style="1010" customWidth="1"/>
    <col min="15376" max="15377" width="15.42578125" style="1010" customWidth="1"/>
    <col min="15378" max="15378" width="25.7109375" style="1010" customWidth="1"/>
    <col min="15379" max="15379" width="31.7109375" style="1010" customWidth="1"/>
    <col min="15380" max="15380" width="34.140625" style="1010" customWidth="1"/>
    <col min="15381" max="15381" width="37.7109375" style="1010" customWidth="1"/>
    <col min="15382" max="15382" width="48.7109375" style="1010" customWidth="1"/>
    <col min="15383" max="15383" width="29.42578125" style="1010" customWidth="1"/>
    <col min="15384" max="15616" width="11.5703125" style="1010"/>
    <col min="15617" max="15617" width="5.42578125" style="1010" customWidth="1"/>
    <col min="15618" max="15618" width="34.42578125" style="1010" customWidth="1"/>
    <col min="15619" max="15619" width="27.7109375" style="1010" customWidth="1"/>
    <col min="15620" max="15620" width="18.140625" style="1010" customWidth="1"/>
    <col min="15621" max="15621" width="24" style="1010" customWidth="1"/>
    <col min="15622" max="15622" width="16" style="1010" customWidth="1"/>
    <col min="15623" max="15623" width="16.140625" style="1010" customWidth="1"/>
    <col min="15624" max="15624" width="15.7109375" style="1010" customWidth="1"/>
    <col min="15625" max="15625" width="17.42578125" style="1010" customWidth="1"/>
    <col min="15626" max="15627" width="16.7109375" style="1010" customWidth="1"/>
    <col min="15628" max="15628" width="13.140625" style="1010" customWidth="1"/>
    <col min="15629" max="15629" width="14" style="1010" customWidth="1"/>
    <col min="15630" max="15630" width="17.28515625" style="1010" customWidth="1"/>
    <col min="15631" max="15631" width="16.42578125" style="1010" customWidth="1"/>
    <col min="15632" max="15633" width="15.42578125" style="1010" customWidth="1"/>
    <col min="15634" max="15634" width="25.7109375" style="1010" customWidth="1"/>
    <col min="15635" max="15635" width="31.7109375" style="1010" customWidth="1"/>
    <col min="15636" max="15636" width="34.140625" style="1010" customWidth="1"/>
    <col min="15637" max="15637" width="37.7109375" style="1010" customWidth="1"/>
    <col min="15638" max="15638" width="48.7109375" style="1010" customWidth="1"/>
    <col min="15639" max="15639" width="29.42578125" style="1010" customWidth="1"/>
    <col min="15640" max="15872" width="11.5703125" style="1010"/>
    <col min="15873" max="15873" width="5.42578125" style="1010" customWidth="1"/>
    <col min="15874" max="15874" width="34.42578125" style="1010" customWidth="1"/>
    <col min="15875" max="15875" width="27.7109375" style="1010" customWidth="1"/>
    <col min="15876" max="15876" width="18.140625" style="1010" customWidth="1"/>
    <col min="15877" max="15877" width="24" style="1010" customWidth="1"/>
    <col min="15878" max="15878" width="16" style="1010" customWidth="1"/>
    <col min="15879" max="15879" width="16.140625" style="1010" customWidth="1"/>
    <col min="15880" max="15880" width="15.7109375" style="1010" customWidth="1"/>
    <col min="15881" max="15881" width="17.42578125" style="1010" customWidth="1"/>
    <col min="15882" max="15883" width="16.7109375" style="1010" customWidth="1"/>
    <col min="15884" max="15884" width="13.140625" style="1010" customWidth="1"/>
    <col min="15885" max="15885" width="14" style="1010" customWidth="1"/>
    <col min="15886" max="15886" width="17.28515625" style="1010" customWidth="1"/>
    <col min="15887" max="15887" width="16.42578125" style="1010" customWidth="1"/>
    <col min="15888" max="15889" width="15.42578125" style="1010" customWidth="1"/>
    <col min="15890" max="15890" width="25.7109375" style="1010" customWidth="1"/>
    <col min="15891" max="15891" width="31.7109375" style="1010" customWidth="1"/>
    <col min="15892" max="15892" width="34.140625" style="1010" customWidth="1"/>
    <col min="15893" max="15893" width="37.7109375" style="1010" customWidth="1"/>
    <col min="15894" max="15894" width="48.7109375" style="1010" customWidth="1"/>
    <col min="15895" max="15895" width="29.42578125" style="1010" customWidth="1"/>
    <col min="15896" max="16128" width="11.5703125" style="1010"/>
    <col min="16129" max="16129" width="5.42578125" style="1010" customWidth="1"/>
    <col min="16130" max="16130" width="34.42578125" style="1010" customWidth="1"/>
    <col min="16131" max="16131" width="27.7109375" style="1010" customWidth="1"/>
    <col min="16132" max="16132" width="18.140625" style="1010" customWidth="1"/>
    <col min="16133" max="16133" width="24" style="1010" customWidth="1"/>
    <col min="16134" max="16134" width="16" style="1010" customWidth="1"/>
    <col min="16135" max="16135" width="16.140625" style="1010" customWidth="1"/>
    <col min="16136" max="16136" width="15.7109375" style="1010" customWidth="1"/>
    <col min="16137" max="16137" width="17.42578125" style="1010" customWidth="1"/>
    <col min="16138" max="16139" width="16.7109375" style="1010" customWidth="1"/>
    <col min="16140" max="16140" width="13.140625" style="1010" customWidth="1"/>
    <col min="16141" max="16141" width="14" style="1010" customWidth="1"/>
    <col min="16142" max="16142" width="17.28515625" style="1010" customWidth="1"/>
    <col min="16143" max="16143" width="16.42578125" style="1010" customWidth="1"/>
    <col min="16144" max="16145" width="15.42578125" style="1010" customWidth="1"/>
    <col min="16146" max="16146" width="25.7109375" style="1010" customWidth="1"/>
    <col min="16147" max="16147" width="31.7109375" style="1010" customWidth="1"/>
    <col min="16148" max="16148" width="34.140625" style="1010" customWidth="1"/>
    <col min="16149" max="16149" width="37.7109375" style="1010" customWidth="1"/>
    <col min="16150" max="16150" width="48.7109375" style="1010" customWidth="1"/>
    <col min="16151" max="16151" width="29.42578125" style="1010" customWidth="1"/>
    <col min="16152" max="16384" width="11.5703125" style="1010"/>
  </cols>
  <sheetData>
    <row r="2" spans="1:24" ht="51" customHeight="1" x14ac:dyDescent="0.2">
      <c r="B2" s="2489"/>
      <c r="C2" s="2073" t="s">
        <v>1689</v>
      </c>
      <c r="D2" s="2073"/>
      <c r="E2" s="2073"/>
      <c r="F2" s="2073"/>
      <c r="G2" s="2073"/>
      <c r="H2" s="2073"/>
      <c r="I2" s="2073"/>
      <c r="J2" s="2073"/>
      <c r="K2" s="2073"/>
      <c r="L2" s="2073"/>
      <c r="M2" s="2073"/>
      <c r="N2" s="2073"/>
      <c r="O2" s="2073"/>
      <c r="P2" s="2073"/>
      <c r="Q2" s="2073"/>
      <c r="R2" s="2073"/>
      <c r="S2" s="2073"/>
      <c r="T2" s="2073"/>
      <c r="U2" s="2073"/>
      <c r="V2" s="2490" t="s">
        <v>1937</v>
      </c>
    </row>
    <row r="3" spans="1:24" ht="41.25" customHeight="1" x14ac:dyDescent="0.2">
      <c r="B3" s="2390"/>
      <c r="C3" s="2073"/>
      <c r="D3" s="2073"/>
      <c r="E3" s="2073"/>
      <c r="F3" s="2073"/>
      <c r="G3" s="2073"/>
      <c r="H3" s="2073"/>
      <c r="I3" s="2073"/>
      <c r="J3" s="2073"/>
      <c r="K3" s="2073"/>
      <c r="L3" s="2073"/>
      <c r="M3" s="2073"/>
      <c r="N3" s="2073"/>
      <c r="O3" s="2073"/>
      <c r="P3" s="2073"/>
      <c r="Q3" s="2073"/>
      <c r="R3" s="2073"/>
      <c r="S3" s="2073"/>
      <c r="T3" s="2073"/>
      <c r="U3" s="2073"/>
      <c r="V3" s="2490"/>
    </row>
    <row r="5" spans="1:24" s="605" customFormat="1" ht="32.25" customHeight="1" x14ac:dyDescent="0.2">
      <c r="A5" s="992"/>
      <c r="B5" s="1091"/>
      <c r="C5" s="2491" t="s">
        <v>1641</v>
      </c>
      <c r="D5" s="2491"/>
      <c r="E5" s="2491"/>
      <c r="F5" s="2491"/>
      <c r="G5" s="30"/>
      <c r="H5" s="30"/>
      <c r="I5" s="30"/>
      <c r="J5" s="30"/>
      <c r="K5" s="30"/>
      <c r="L5" s="30"/>
      <c r="M5" s="30"/>
      <c r="N5" s="30"/>
      <c r="O5" s="30"/>
      <c r="P5" s="607"/>
      <c r="Q5" s="607"/>
      <c r="R5" s="607"/>
      <c r="S5" s="607"/>
      <c r="T5" s="993"/>
      <c r="U5" s="607"/>
      <c r="V5" s="1649"/>
      <c r="W5" s="994"/>
    </row>
    <row r="6" spans="1:24" s="605" customFormat="1" ht="18" customHeight="1" x14ac:dyDescent="0.25">
      <c r="A6" s="304"/>
      <c r="B6" s="304"/>
      <c r="C6" s="989"/>
      <c r="D6" s="989"/>
      <c r="E6" s="989"/>
      <c r="F6" s="989"/>
      <c r="G6" s="989"/>
      <c r="H6" s="989"/>
      <c r="I6" s="607"/>
      <c r="J6" s="607"/>
      <c r="K6" s="993"/>
      <c r="L6" s="607"/>
      <c r="M6" s="607"/>
      <c r="N6" s="993"/>
      <c r="O6" s="607"/>
      <c r="P6" s="607"/>
      <c r="Q6" s="607"/>
      <c r="R6" s="607"/>
      <c r="S6" s="607"/>
      <c r="T6" s="993"/>
      <c r="U6" s="607"/>
      <c r="V6" s="1649"/>
      <c r="W6" s="994"/>
      <c r="X6" s="995"/>
    </row>
    <row r="7" spans="1:24" s="30" customFormat="1" ht="31.9" customHeight="1" x14ac:dyDescent="0.2">
      <c r="B7" s="996" t="s">
        <v>1</v>
      </c>
      <c r="C7" s="2493" t="str">
        <f>+FENECIMIENTO!D5</f>
        <v xml:space="preserve">206 - Fondo de Prestaciones Económicas, Cesantías y Pensiones – FONCEP </v>
      </c>
      <c r="D7" s="2494"/>
      <c r="E7" s="997" t="s">
        <v>758</v>
      </c>
      <c r="F7" s="998">
        <f>+FENECIMIENTO!K5</f>
        <v>2024</v>
      </c>
      <c r="G7" s="999"/>
      <c r="I7" s="999"/>
      <c r="K7" s="1000"/>
      <c r="N7" s="1000"/>
      <c r="T7" s="1000"/>
      <c r="U7" s="1001"/>
      <c r="V7" s="783"/>
      <c r="W7" s="1002"/>
    </row>
    <row r="8" spans="1:24" s="30" customFormat="1" x14ac:dyDescent="0.2">
      <c r="B8" s="996" t="s">
        <v>864</v>
      </c>
      <c r="C8" s="2495">
        <f>+FENECIMIENTO!D7</f>
        <v>45693</v>
      </c>
      <c r="D8" s="2495"/>
      <c r="E8" s="997" t="s">
        <v>1686</v>
      </c>
      <c r="F8" s="998">
        <f>+FENECIMIENTO!D6</f>
        <v>2025</v>
      </c>
      <c r="G8" s="999"/>
      <c r="I8" s="999"/>
      <c r="K8" s="1000"/>
      <c r="N8" s="1000"/>
      <c r="T8" s="1000"/>
      <c r="V8" s="783"/>
      <c r="W8" s="1002"/>
    </row>
    <row r="9" spans="1:24" s="30" customFormat="1" x14ac:dyDescent="0.2">
      <c r="B9" s="996" t="s">
        <v>865</v>
      </c>
      <c r="C9" s="2495">
        <f>+FENECIMIENTO!K7</f>
        <v>45693</v>
      </c>
      <c r="D9" s="2495"/>
      <c r="E9" s="1003" t="s">
        <v>763</v>
      </c>
      <c r="F9" s="1004"/>
      <c r="G9" s="999"/>
      <c r="I9" s="999"/>
      <c r="K9" s="1000"/>
      <c r="N9" s="1000"/>
      <c r="T9" s="1000"/>
      <c r="V9" s="783"/>
      <c r="W9" s="1002"/>
    </row>
    <row r="10" spans="1:24" s="30" customFormat="1" ht="16.5" thickBot="1" x14ac:dyDescent="0.25">
      <c r="B10" s="1005"/>
      <c r="C10" s="1006"/>
      <c r="D10" s="1079"/>
      <c r="E10" s="1007"/>
      <c r="F10" s="1007"/>
      <c r="G10" s="999"/>
      <c r="H10" s="51"/>
      <c r="I10" s="999"/>
      <c r="K10" s="607"/>
      <c r="L10" s="607"/>
      <c r="M10" s="607"/>
      <c r="N10" s="607"/>
      <c r="O10" s="607"/>
      <c r="P10" s="607"/>
      <c r="Q10" s="607"/>
      <c r="R10" s="607"/>
      <c r="S10" s="607"/>
      <c r="T10" s="607"/>
      <c r="U10" s="607"/>
      <c r="V10" s="1649"/>
      <c r="W10" s="1002"/>
    </row>
    <row r="11" spans="1:24" s="30" customFormat="1" ht="33" customHeight="1" thickTop="1" x14ac:dyDescent="0.2">
      <c r="B11" s="2496" t="s">
        <v>866</v>
      </c>
      <c r="C11" s="990" t="s">
        <v>867</v>
      </c>
      <c r="D11" s="2497" t="s">
        <v>1603</v>
      </c>
      <c r="E11" s="1008" t="str">
        <f>IF(D11="PLANES Y PROYECTOS","",IF(D11="PLAN ESTRATEGICO INSTITUCIONAL o CORPORATIVO o el que haga sus veces",""))</f>
        <v/>
      </c>
      <c r="F11" s="1008"/>
      <c r="G11" s="1008"/>
      <c r="H11" s="1009" t="str">
        <f>IF(D11="PLANES Y PROYECTOS","",IF(D11="PLAN ESTRATEGICO INSTITUCIONAL o CORPORATIVO o el que haga sus veces",'PLAN ESTRATÉGICO'!K13))</f>
        <v/>
      </c>
      <c r="I11" s="999"/>
      <c r="L11" s="607"/>
      <c r="M11" s="607"/>
      <c r="O11" s="607"/>
      <c r="P11" s="607"/>
      <c r="Q11" s="607"/>
      <c r="R11" s="607"/>
      <c r="S11" s="607"/>
      <c r="T11" s="607"/>
      <c r="U11" s="607"/>
      <c r="V11" s="1649"/>
      <c r="W11" s="607"/>
      <c r="X11" s="1002"/>
    </row>
    <row r="12" spans="1:24" s="30" customFormat="1" ht="33" customHeight="1" thickBot="1" x14ac:dyDescent="0.25">
      <c r="B12" s="2496"/>
      <c r="D12" s="2498"/>
      <c r="E12" s="1008" t="str">
        <f>IF(D11="PLANES Y PROYECTOS","",IF(D11="PLAN ESTRATEGICO INSTITUCIONAL o CORPORATIVO o el que haga sus veces",""))</f>
        <v/>
      </c>
      <c r="F12" s="1008"/>
      <c r="G12" s="1008"/>
      <c r="H12" s="1009" t="str">
        <f>IF(D11="PLANES Y PROYECTOS","",IF(D11="PLAN ESTRATEGICO INSTITUCIONAL o CORPORATIVO o el que haga sus veces",'PLAN ESTRATÉGICO'!K14))</f>
        <v/>
      </c>
      <c r="I12" s="1000"/>
      <c r="J12" s="999"/>
      <c r="M12" s="607"/>
      <c r="P12" s="607"/>
      <c r="Q12" s="607"/>
      <c r="R12" s="607"/>
      <c r="S12" s="607"/>
      <c r="T12" s="607"/>
      <c r="U12" s="607"/>
      <c r="V12" s="1649"/>
      <c r="W12" s="607"/>
      <c r="X12" s="1002"/>
    </row>
    <row r="13" spans="1:24" s="30" customFormat="1" ht="16.5" thickTop="1" x14ac:dyDescent="0.2">
      <c r="B13" s="1005"/>
      <c r="C13" s="1006"/>
      <c r="D13" s="1006"/>
      <c r="E13" s="1007"/>
      <c r="F13" s="1007"/>
      <c r="G13" s="1007"/>
      <c r="H13" s="51"/>
      <c r="I13" s="999"/>
      <c r="K13" s="607"/>
      <c r="L13" s="607"/>
      <c r="M13" s="607"/>
      <c r="N13" s="607"/>
      <c r="O13" s="607"/>
      <c r="P13" s="607"/>
      <c r="Q13" s="607"/>
      <c r="R13" s="607"/>
      <c r="S13" s="607"/>
      <c r="T13" s="607"/>
      <c r="U13" s="607"/>
      <c r="V13" s="1649"/>
      <c r="W13" s="1002"/>
    </row>
    <row r="14" spans="1:24" ht="24" customHeight="1" x14ac:dyDescent="0.2">
      <c r="B14" s="2492" t="s">
        <v>1680</v>
      </c>
      <c r="C14" s="2492"/>
      <c r="D14" s="2492"/>
      <c r="E14" s="2492"/>
      <c r="F14" s="2492"/>
      <c r="G14" s="2492"/>
      <c r="H14" s="2492"/>
      <c r="I14" s="2492"/>
      <c r="J14" s="2492"/>
      <c r="K14" s="2492"/>
      <c r="L14" s="2492"/>
      <c r="M14" s="2492"/>
      <c r="N14" s="2492"/>
      <c r="O14" s="2492"/>
      <c r="P14" s="2492"/>
      <c r="Q14" s="2492"/>
      <c r="R14" s="2492"/>
      <c r="S14" s="2492"/>
      <c r="T14" s="2492"/>
      <c r="U14" s="2492"/>
      <c r="V14" s="2492"/>
      <c r="W14" s="2492"/>
    </row>
    <row r="15" spans="1:24" s="1011" customFormat="1" ht="16.5" customHeight="1" x14ac:dyDescent="0.2">
      <c r="B15" s="1012"/>
      <c r="C15" s="1012"/>
      <c r="D15" s="1012"/>
      <c r="E15" s="1012"/>
      <c r="F15" s="1013"/>
      <c r="G15" s="1013"/>
      <c r="H15" s="999"/>
      <c r="I15" s="999"/>
      <c r="J15" s="1013"/>
      <c r="K15" s="1013"/>
      <c r="L15" s="1013"/>
      <c r="M15" s="1013"/>
      <c r="N15" s="1013"/>
      <c r="O15" s="1013"/>
      <c r="P15" s="1013"/>
      <c r="Q15" s="1013"/>
      <c r="R15" s="1013"/>
      <c r="S15" s="1013"/>
      <c r="T15" s="1013"/>
      <c r="U15" s="1013"/>
      <c r="V15" s="1013"/>
      <c r="W15" s="1013"/>
    </row>
    <row r="16" spans="1:24" ht="15" customHeight="1" x14ac:dyDescent="0.2">
      <c r="B16" s="2475" t="str">
        <f>IF(D11="PLANES Y PROYECTOS","PLANES Y  PROYECTOS",IF(D11="PLAN ESTRATEGICO INSTITUCIONAL o CORPORATIVO o el que haga sus veces","No Aplica"))</f>
        <v>PLANES Y  PROYECTOS</v>
      </c>
      <c r="C16" s="2475" t="str">
        <f>IF(D11="PLANES Y PROYECTOS","Nombre del Programa ",IF(D11="PLAN ESTRATEGICO INSTITUCIONAL o CORPORATIVO o el que haga sus veces","No Aplica"))</f>
        <v xml:space="preserve">Nombre del Programa </v>
      </c>
      <c r="D16" s="2476" t="str">
        <f>IF(D11="PLANES Y PROYECTOS","Proyecto ",IF(D11="PLAN ESTRATEGICO INSTITUCIONAL o CORPORATIVO o el que haga sus veces","No Aplica"))</f>
        <v xml:space="preserve">Proyecto </v>
      </c>
      <c r="E16" s="2475" t="str">
        <f>IF(D11="PLANES Y PROYECTOS","Meta producto del PDT (Meta física) ",IF(D11="PLAN ESTRATEGICO INSTITUCIONAL o CORPORATIVO o el que haga sus veces","No Aplica"))</f>
        <v xml:space="preserve">Meta producto del PDT (Meta física) </v>
      </c>
      <c r="F16" s="2475" t="s">
        <v>1652</v>
      </c>
      <c r="G16" s="2475" t="s">
        <v>1662</v>
      </c>
      <c r="H16" s="2478" t="s">
        <v>1655</v>
      </c>
      <c r="I16" s="2458">
        <f>IF(D11="PLANES Y PROYECTOS",AVERAGEIF(H25:H450,"&gt;0",J25:J450)/100,"No Aplica")</f>
        <v>0.84488243782361427</v>
      </c>
      <c r="J16" s="2458"/>
      <c r="K16" s="2456" t="s">
        <v>1655</v>
      </c>
      <c r="L16" s="2458">
        <f>IF(D11="PLANES Y PROYECTOS",+AVERAGE(L21:V21),"No Aplica")</f>
        <v>0.92497132811250538</v>
      </c>
      <c r="M16" s="2458"/>
      <c r="N16" s="607"/>
      <c r="O16" s="2463" t="s">
        <v>1663</v>
      </c>
      <c r="P16" s="2463"/>
      <c r="Q16" s="2463"/>
      <c r="R16" s="607"/>
      <c r="S16" s="2499" t="s">
        <v>1674</v>
      </c>
      <c r="T16" s="2500"/>
      <c r="U16" s="2500"/>
      <c r="V16" s="2501"/>
      <c r="W16" s="1010"/>
    </row>
    <row r="17" spans="2:49" s="1011" customFormat="1" ht="15.75" customHeight="1" x14ac:dyDescent="0.2">
      <c r="B17" s="2475"/>
      <c r="C17" s="2475"/>
      <c r="D17" s="2476"/>
      <c r="E17" s="2475"/>
      <c r="F17" s="2475"/>
      <c r="G17" s="2475"/>
      <c r="H17" s="2478"/>
      <c r="I17" s="2458"/>
      <c r="J17" s="2458"/>
      <c r="K17" s="2457"/>
      <c r="L17" s="2458"/>
      <c r="M17" s="2458"/>
      <c r="N17" s="607"/>
      <c r="O17" s="1084" t="s">
        <v>1664</v>
      </c>
      <c r="P17" s="1085" t="s">
        <v>1668</v>
      </c>
      <c r="Q17" s="1085" t="s">
        <v>1669</v>
      </c>
      <c r="R17" s="607"/>
      <c r="S17" s="1657" t="s">
        <v>1670</v>
      </c>
      <c r="T17" s="1657" t="s">
        <v>1672</v>
      </c>
      <c r="U17" s="1657" t="s">
        <v>1671</v>
      </c>
      <c r="V17" s="1657" t="s">
        <v>1673</v>
      </c>
    </row>
    <row r="18" spans="2:49" s="1011" customFormat="1" ht="17.25" customHeight="1" x14ac:dyDescent="0.2">
      <c r="B18" s="2475"/>
      <c r="C18" s="2475"/>
      <c r="D18" s="2476"/>
      <c r="E18" s="2475"/>
      <c r="F18" s="2475"/>
      <c r="G18" s="2475"/>
      <c r="H18" s="1014" t="s">
        <v>1661</v>
      </c>
      <c r="I18" s="2458" t="str">
        <f>IF(I16="No Aplica","No Aplica",(IF(I16&gt;=75%,"EFICAZ","INEFICAZ")))</f>
        <v>EFICAZ</v>
      </c>
      <c r="J18" s="2458"/>
      <c r="K18" s="1014" t="s">
        <v>1661</v>
      </c>
      <c r="L18" s="2458" t="str">
        <f>IF(L16="No Aplica","No Aplica",(IF(L16&gt;=75%,"EFICIENTE","INEFICIENTE")))</f>
        <v>EFICIENTE</v>
      </c>
      <c r="M18" s="2458"/>
      <c r="N18" s="607"/>
      <c r="O18" s="1086" t="s">
        <v>1666</v>
      </c>
      <c r="P18" s="1087">
        <f>IFERROR(AVERAGEIF($G$25:$G$450,"*Si*",J25:J450),100)</f>
        <v>95</v>
      </c>
      <c r="Q18" s="1088" t="str">
        <f>IF(P18="No Auditado","No Auditado",(IF(P18&gt;=75,"EFICAZ","INEFICAZ")))</f>
        <v>EFICAZ</v>
      </c>
      <c r="R18" s="758"/>
      <c r="S18" s="1658">
        <f>IFERROR(AVERAGEIF($G$25:$G$450,"*Si*",M25:M450),"No Auditado")</f>
        <v>80</v>
      </c>
      <c r="T18" s="1658">
        <f>IFERROR(AVERAGEIF($G$25:$G$450,"*Si*",P25:P450),"No Auditado")</f>
        <v>100</v>
      </c>
      <c r="U18" s="1658">
        <f>IFERROR(AVERAGEIF($G$25:$G$450,"*Si*",S25:S450),"No Auditado")</f>
        <v>90</v>
      </c>
      <c r="V18" s="1658">
        <f>IFERROR(AVERAGEIF($G$25:$G$450,"*Si*",V25:V450),"No Auditado")</f>
        <v>49.990001999600082</v>
      </c>
    </row>
    <row r="19" spans="2:49" s="1011" customFormat="1" ht="14.25" customHeight="1" x14ac:dyDescent="0.2">
      <c r="B19" s="2475"/>
      <c r="C19" s="2475"/>
      <c r="D19" s="2476"/>
      <c r="E19" s="2475"/>
      <c r="F19" s="2475"/>
      <c r="G19" s="2475"/>
      <c r="H19" s="2456" t="s">
        <v>1660</v>
      </c>
      <c r="I19" s="2480" t="str">
        <f>IF(D11="PLANES Y PROYECTOS","EFICACIA",IF(D11="PLAN ESTRATEGICO INSTITUCIONAL o CORPORATIVO o el que haga sus veces","No Aplica"))</f>
        <v>EFICACIA</v>
      </c>
      <c r="J19" s="2481"/>
      <c r="K19" s="2486" t="s">
        <v>1660</v>
      </c>
      <c r="L19" s="2477" t="str">
        <f>IF(D11="PLANES Y PROYECTOS","EFICIENCIA",IF(D11="PLAN ESTRATEGICO INSTITUCIONAL o CORPORATIVO o el que haga sus veces","No Aplica"))</f>
        <v>EFICIENCIA</v>
      </c>
      <c r="M19" s="2477"/>
      <c r="N19" s="607"/>
      <c r="O19" s="1086" t="s">
        <v>1667</v>
      </c>
      <c r="P19" s="1087">
        <f>IFERROR(AVERAGE($S$18:$V$18),"No Auditado")</f>
        <v>79.997500499900013</v>
      </c>
      <c r="Q19" s="1088" t="str">
        <f>IF(P19="No Auditado","No Auditado",(IF(P19&gt;=75,"EFICIENTE","INEFICIENTE")))</f>
        <v>EFICIENTE</v>
      </c>
      <c r="R19" s="607"/>
      <c r="S19" s="607"/>
      <c r="T19" s="607"/>
      <c r="U19" s="607"/>
      <c r="V19" s="1649"/>
    </row>
    <row r="20" spans="2:49" s="1015" customFormat="1" ht="14.25" customHeight="1" x14ac:dyDescent="0.25">
      <c r="B20" s="2475"/>
      <c r="C20" s="2475"/>
      <c r="D20" s="2476"/>
      <c r="E20" s="2475"/>
      <c r="F20" s="2475"/>
      <c r="G20" s="2475"/>
      <c r="H20" s="2479"/>
      <c r="I20" s="2482"/>
      <c r="J20" s="2483"/>
      <c r="K20" s="2487"/>
      <c r="L20" s="2477"/>
      <c r="M20" s="2477"/>
      <c r="N20" s="607"/>
      <c r="O20" s="607"/>
      <c r="P20" s="607"/>
      <c r="Q20" s="607"/>
      <c r="R20" s="607"/>
      <c r="S20" s="607"/>
      <c r="T20" s="607"/>
      <c r="U20" s="607"/>
      <c r="V20" s="1649"/>
    </row>
    <row r="21" spans="2:49" s="1015" customFormat="1" ht="30" customHeight="1" x14ac:dyDescent="0.25">
      <c r="B21" s="2475"/>
      <c r="C21" s="2475"/>
      <c r="D21" s="2476"/>
      <c r="E21" s="2475"/>
      <c r="F21" s="2475"/>
      <c r="G21" s="2475"/>
      <c r="H21" s="2457"/>
      <c r="I21" s="2484"/>
      <c r="J21" s="2485"/>
      <c r="K21" s="1089" t="s">
        <v>1656</v>
      </c>
      <c r="L21" s="2464">
        <f>IF(D11="PLANES Y PROYECTOS",AVERAGE(M25:M450)/100,"No Aplica")</f>
        <v>0.94013970110461342</v>
      </c>
      <c r="M21" s="2464"/>
      <c r="N21" s="1090" t="s">
        <v>1657</v>
      </c>
      <c r="O21" s="2454">
        <f>IF(D11="PLANES Y PROYECTOS",AVERAGE(P25:P450)/100,"No Aplica")</f>
        <v>0.98767056530214437</v>
      </c>
      <c r="P21" s="2455"/>
      <c r="Q21" s="1090" t="s">
        <v>1658</v>
      </c>
      <c r="R21" s="2454">
        <f>IF(D11="PLANES Y PROYECTOS",AVERAGE(S25:S450)/100,"No Aplica")</f>
        <v>0.96222222222222231</v>
      </c>
      <c r="S21" s="2455"/>
      <c r="T21" s="1090" t="s">
        <v>1659</v>
      </c>
      <c r="U21" s="2454">
        <f>IF(D11="PLANES Y PROYECTOS",AVERAGE(V25:V450)/100,"No Aplica")</f>
        <v>0.80985282382104129</v>
      </c>
      <c r="V21" s="2455"/>
    </row>
    <row r="22" spans="2:49" s="1016" customFormat="1" ht="30.75" customHeight="1" x14ac:dyDescent="0.25">
      <c r="B22" s="2475"/>
      <c r="C22" s="2475"/>
      <c r="D22" s="2476"/>
      <c r="E22" s="2475"/>
      <c r="F22" s="2475"/>
      <c r="G22" s="2475"/>
      <c r="H22" s="2461" t="str">
        <f>IF(D11="PLANES Y PROYECTOS","Cumplimiento de Metas",IF(D11="PLAN ESTRATEGICO INSTITUCIONAL o CORPORATIVO o el que haga sus veces","No Aplica"))</f>
        <v>Cumplimiento de Metas</v>
      </c>
      <c r="I22" s="2462"/>
      <c r="J22" s="2469" t="str">
        <f>IF(D11="PLANES Y PROYECTOS","Resultado %",IF(D11="PLAN ESTRATEGICO INSTITUCIONAL o CORPORATIVO o el que haga sus veces","No Aplica"))</f>
        <v>Resultado %</v>
      </c>
      <c r="K22" s="2488" t="s">
        <v>1654</v>
      </c>
      <c r="L22" s="2462"/>
      <c r="M22" s="2465" t="s">
        <v>1653</v>
      </c>
      <c r="N22" s="2488" t="str">
        <f>IF(D11="PLANES Y PROYECTOS","Cumplimiento Ejecución Presupuestal",IF(D11="PLAN ESTRATEGICO INSTITUCIONAL o CORPORATIVO o el que haga sus veces","No Aplica"))</f>
        <v>Cumplimiento Ejecución Presupuestal</v>
      </c>
      <c r="O22" s="2462"/>
      <c r="P22" s="2465" t="s">
        <v>1653</v>
      </c>
      <c r="Q22" s="2462" t="str">
        <f>IF(D11="PLANES Y PROYECTOS","Cumplimiento Cronograma",IF(D11="PLAN ESTRATEGICO INSTITUCIONAL o CORPORATIVO o el que haga sus veces","No Aplica"))</f>
        <v>Cumplimiento Cronograma</v>
      </c>
      <c r="R22" s="2462"/>
      <c r="S22" s="2465" t="str">
        <f>IF(D11="PLANES Y PROYECTOS","Resultado %",IF(D11="PLAN ESTRATEGICO INSTITUCIONAL o CORPORATIVO o el que haga sus veces","No Aplica"))</f>
        <v>Resultado %</v>
      </c>
      <c r="T22" s="2462" t="str">
        <f>IF(D11="PLANES Y PROYECTOS","Cumplimiento Giros Ejecutados",IF(D11="PLAN ESTRATEGICO INSTITUCIONAL o CORPORATIVO o el que haga sus veces","No Aplica"))</f>
        <v>Cumplimiento Giros Ejecutados</v>
      </c>
      <c r="U22" s="2462"/>
      <c r="V22" s="2452" t="str">
        <f>IF(D11="PLANES Y PROYECTOS","Resultado %",IF(D11="PLAN ESTRATEGICO INSTITUCIONAL o CORPORATIVO o el que haga sus veces","No Aplica"))</f>
        <v>Resultado %</v>
      </c>
    </row>
    <row r="23" spans="2:49" s="1016" customFormat="1" ht="39.75" customHeight="1" x14ac:dyDescent="0.25">
      <c r="B23" s="2475"/>
      <c r="C23" s="2475"/>
      <c r="D23" s="2476"/>
      <c r="E23" s="2475"/>
      <c r="F23" s="2475"/>
      <c r="G23" s="2475"/>
      <c r="H23" s="2471" t="str">
        <f>IF(D11="PLANES Y PROYECTOS","Meta fisica programada vigencia evaluada",IF(D11="PLAN ESTRATEGICO INSTITUCIONAL o CORPORATIVO o el que haga sus veces","No Aplica"))</f>
        <v>Meta fisica programada vigencia evaluada</v>
      </c>
      <c r="I23" s="2471" t="str">
        <f>IF(D11="PLANES Y PROYECTOS","Meta fisica programada cumplida",IF(D11="PLAN ESTRATEGICO INSTITUCIONAL o CORPORATIVO o el que haga sus veces","No Aplica"))</f>
        <v>Meta fisica programada cumplida</v>
      </c>
      <c r="J23" s="2469"/>
      <c r="K23" s="2471" t="s">
        <v>1753</v>
      </c>
      <c r="L23" s="2471" t="s">
        <v>1754</v>
      </c>
      <c r="M23" s="2465"/>
      <c r="N23" s="2459" t="str">
        <f>IF(D11="PLANES Y PROYECTOS","Presupuesto programado",IF(D11="PLAN ESTRATEGICO INSTITUCIONAL o CORPORATIVO o el que haga sus veces","No Aplica"))</f>
        <v>Presupuesto programado</v>
      </c>
      <c r="O23" s="2459" t="str">
        <f>IF(D11="PLANES Y PROYECTOS","Presupuesto Ejecutado",IF(D11="PLAN ESTRATEGICO INSTITUCIONAL o CORPORATIVO o el que haga sus veces","No Aplica"))</f>
        <v>Presupuesto Ejecutado</v>
      </c>
      <c r="P23" s="2465"/>
      <c r="Q23" s="2459" t="str">
        <f>IF(D11="PLANES Y PROYECTOS","Plazo de ejecución en días calendario ",IF(D11="PLAN ESTRATEGICO INSTITUCIONAL o CORPORATIVO o el que haga sus veces","No Aplica"))</f>
        <v xml:space="preserve">Plazo de ejecución en días calendario </v>
      </c>
      <c r="R23" s="2459" t="str">
        <f>IF(D11="PLANES Y PROYECTOS","Días calendario de ejecución",IF(D11="PLAN ESTRATEGICO INSTITUCIONAL o CORPORATIVO o el que haga sus veces","No Aplica"))</f>
        <v>Días calendario de ejecución</v>
      </c>
      <c r="S23" s="2465"/>
      <c r="T23" s="2459" t="str">
        <f>IF(D11="PLANES Y PROYECTOS","Presupuesto Ejecutado",IF(D11="PLAN ESTRATEGICO INSTITUCIONAL o CORPORATIVO o el que haga sus veces","No Aplica"))</f>
        <v>Presupuesto Ejecutado</v>
      </c>
      <c r="U23" s="2459" t="str">
        <f>IF(D11="PLANES Y PROYECTOS","Giros Ejecutados",IF(D11="PLAN ESTRATEGICO INSTITUCIONAL o CORPORATIVO o el que haga sus veces","No Aplica"))</f>
        <v>Giros Ejecutados</v>
      </c>
      <c r="V23" s="2452"/>
      <c r="W23" s="1017"/>
    </row>
    <row r="24" spans="2:49" s="1016" customFormat="1" ht="17.25" customHeight="1" x14ac:dyDescent="0.25">
      <c r="B24" s="2475"/>
      <c r="C24" s="2475"/>
      <c r="D24" s="2476"/>
      <c r="E24" s="2475"/>
      <c r="F24" s="2475"/>
      <c r="G24" s="2475"/>
      <c r="H24" s="2472"/>
      <c r="I24" s="2472"/>
      <c r="J24" s="2470"/>
      <c r="K24" s="2472"/>
      <c r="L24" s="2472"/>
      <c r="M24" s="2466"/>
      <c r="N24" s="2460"/>
      <c r="O24" s="2460"/>
      <c r="P24" s="2466"/>
      <c r="Q24" s="2460"/>
      <c r="R24" s="2460"/>
      <c r="S24" s="2466"/>
      <c r="T24" s="2460"/>
      <c r="U24" s="2460"/>
      <c r="V24" s="2453"/>
    </row>
    <row r="25" spans="2:49" x14ac:dyDescent="0.2">
      <c r="B25" s="1018" t="s">
        <v>868</v>
      </c>
      <c r="C25" s="1480" t="s">
        <v>869</v>
      </c>
      <c r="D25" s="1020" t="s">
        <v>870</v>
      </c>
      <c r="E25" s="1481" t="s">
        <v>871</v>
      </c>
      <c r="F25" s="1020" t="s">
        <v>1676</v>
      </c>
      <c r="G25" s="1020" t="s">
        <v>1642</v>
      </c>
      <c r="H25" s="1659">
        <v>2000</v>
      </c>
      <c r="I25" s="1659">
        <v>1900</v>
      </c>
      <c r="J25" s="1077">
        <f>IF(AND(H25=0,I25=0),"",IF(I25&lt;&gt;0,IF(I25&gt;H25,100,I25/H25*100),0))</f>
        <v>95</v>
      </c>
      <c r="K25" s="1661">
        <v>5000000</v>
      </c>
      <c r="L25" s="1661">
        <v>4000000</v>
      </c>
      <c r="M25" s="1078">
        <f>IF(AND(K25=0,L25=0),"",IF(L25&lt;&gt;0,IF(L25&gt;K25,100,L25/K25*100),0))</f>
        <v>80</v>
      </c>
      <c r="N25" s="1661">
        <v>5000000</v>
      </c>
      <c r="O25" s="1661">
        <v>5001000</v>
      </c>
      <c r="P25" s="1078">
        <f>IF(AND(N25=0,O25=0),"",IF(O25&lt;&gt;0,IF(O25&gt;N25,100,O25/N25*100),0))</f>
        <v>100</v>
      </c>
      <c r="Q25" s="1659">
        <v>100</v>
      </c>
      <c r="R25" s="1659">
        <v>110</v>
      </c>
      <c r="S25" s="1078">
        <f>IF(AND(Q25=0,R25=0),"",IF(R25&lt;&gt;0,IF(R25&lt;=Q25,100,100-(R25-Q25)),0))</f>
        <v>90</v>
      </c>
      <c r="T25" s="1661">
        <f>+O25</f>
        <v>5001000</v>
      </c>
      <c r="U25" s="1661">
        <v>2500000</v>
      </c>
      <c r="V25" s="1078">
        <f>IF(AND(T25=0,U25=0),"",IF(U25&lt;&gt;0,IF(U25&gt;T25,100,U25/T25*100),0))</f>
        <v>49.990001999600082</v>
      </c>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6"/>
      <c r="AR25" s="1016"/>
      <c r="AS25" s="1016"/>
      <c r="AT25" s="1016"/>
      <c r="AU25" s="1016"/>
      <c r="AV25" s="1016"/>
      <c r="AW25" s="1016"/>
    </row>
    <row r="26" spans="2:49" x14ac:dyDescent="0.2">
      <c r="B26" s="1018" t="s">
        <v>872</v>
      </c>
      <c r="C26" s="1019" t="s">
        <v>869</v>
      </c>
      <c r="D26" s="1020" t="s">
        <v>870</v>
      </c>
      <c r="E26" s="1020" t="s">
        <v>873</v>
      </c>
      <c r="F26" s="1020"/>
      <c r="G26" s="1020" t="s">
        <v>1643</v>
      </c>
      <c r="H26" s="1659">
        <v>3927</v>
      </c>
      <c r="I26" s="1659">
        <v>3000</v>
      </c>
      <c r="J26" s="1077">
        <f t="shared" ref="J26:J89" si="0">IF(AND(H26=0,I26=0),"",IF(I26&lt;&gt;0,IF(I26&gt;H26,100,I26/H26*100),0))</f>
        <v>76.39419404125286</v>
      </c>
      <c r="K26" s="1661">
        <v>50000000</v>
      </c>
      <c r="L26" s="1661">
        <v>50000000</v>
      </c>
      <c r="M26" s="1078">
        <f t="shared" ref="M26:M89" si="1">IF(AND(K26=0,L26=0),"",IF(L26&lt;&gt;0,IF(L26&gt;K26,100,L26/K26*100),0))</f>
        <v>100</v>
      </c>
      <c r="N26" s="1661">
        <v>50000000</v>
      </c>
      <c r="O26" s="1661">
        <v>50000000</v>
      </c>
      <c r="P26" s="1078">
        <f t="shared" ref="P26:P89" si="2">IF(AND(N26=0,O26=0),"",IF(O26&lt;&gt;0,IF(O26&gt;N26,100,O26/N26*100),0))</f>
        <v>100</v>
      </c>
      <c r="Q26" s="1659">
        <v>50</v>
      </c>
      <c r="R26" s="1659">
        <v>51</v>
      </c>
      <c r="S26" s="1078">
        <f t="shared" ref="S26:S89" si="3">IF(AND(Q26=0,R26=0),"",IF(R26&lt;&gt;0,IF(R26&lt;=Q26,100,100-(R26-Q26)),0))</f>
        <v>99</v>
      </c>
      <c r="T26" s="1661">
        <f t="shared" ref="T26:T33" si="4">+O26</f>
        <v>50000000</v>
      </c>
      <c r="U26" s="1661">
        <v>45000000</v>
      </c>
      <c r="V26" s="1078">
        <f t="shared" ref="V26:V89" si="5">IF(AND(T26=0,U26=0),"",IF(U26&lt;&gt;0,IF(U26&gt;T26,100,U26/T26*100),0))</f>
        <v>90</v>
      </c>
      <c r="W26" s="1021"/>
      <c r="X26" s="1016"/>
      <c r="Y26" s="1016"/>
      <c r="Z26" s="1016"/>
      <c r="AA26" s="1016"/>
      <c r="AB26" s="1016"/>
      <c r="AC26" s="1016"/>
      <c r="AD26" s="1016"/>
      <c r="AE26" s="1016"/>
      <c r="AF26" s="1016"/>
      <c r="AG26" s="1016"/>
      <c r="AH26" s="1016"/>
      <c r="AI26" s="1016"/>
      <c r="AJ26" s="1016"/>
      <c r="AK26" s="1016"/>
      <c r="AL26" s="1016"/>
      <c r="AM26" s="1016"/>
      <c r="AN26" s="1016"/>
      <c r="AO26" s="1016"/>
      <c r="AP26" s="1016"/>
      <c r="AQ26" s="1016"/>
      <c r="AR26" s="1016"/>
      <c r="AS26" s="1016"/>
      <c r="AT26" s="1016"/>
      <c r="AU26" s="1016"/>
      <c r="AV26" s="1016"/>
      <c r="AW26" s="1016"/>
    </row>
    <row r="27" spans="2:49" x14ac:dyDescent="0.2">
      <c r="B27" s="1018" t="s">
        <v>874</v>
      </c>
      <c r="C27" s="1019" t="s">
        <v>869</v>
      </c>
      <c r="D27" s="1020" t="s">
        <v>870</v>
      </c>
      <c r="E27" s="1020" t="s">
        <v>875</v>
      </c>
      <c r="F27" s="1020"/>
      <c r="G27" s="1020" t="s">
        <v>1643</v>
      </c>
      <c r="H27" s="1659">
        <v>1000</v>
      </c>
      <c r="I27" s="1659">
        <v>540</v>
      </c>
      <c r="J27" s="1077">
        <f t="shared" si="0"/>
        <v>54</v>
      </c>
      <c r="K27" s="1661">
        <v>60000000</v>
      </c>
      <c r="L27" s="1661">
        <v>45000000</v>
      </c>
      <c r="M27" s="1078">
        <f t="shared" si="1"/>
        <v>75</v>
      </c>
      <c r="N27" s="1661">
        <v>60000000</v>
      </c>
      <c r="O27" s="1661">
        <v>60000000</v>
      </c>
      <c r="P27" s="1078">
        <f t="shared" si="2"/>
        <v>100</v>
      </c>
      <c r="Q27" s="1659">
        <v>52</v>
      </c>
      <c r="R27" s="1659">
        <v>52</v>
      </c>
      <c r="S27" s="1078">
        <f t="shared" si="3"/>
        <v>100</v>
      </c>
      <c r="T27" s="1661">
        <f t="shared" si="4"/>
        <v>60000000</v>
      </c>
      <c r="U27" s="1661">
        <v>55000000</v>
      </c>
      <c r="V27" s="1078">
        <f t="shared" si="5"/>
        <v>91.666666666666657</v>
      </c>
      <c r="W27" s="1016"/>
      <c r="X27" s="1016"/>
      <c r="Y27" s="1016"/>
      <c r="Z27" s="1016"/>
      <c r="AA27" s="1016"/>
      <c r="AB27" s="1016"/>
      <c r="AC27" s="1016"/>
      <c r="AD27" s="1016"/>
      <c r="AE27" s="1016"/>
      <c r="AF27" s="1016"/>
      <c r="AG27" s="1016"/>
      <c r="AH27" s="1016"/>
      <c r="AI27" s="1016"/>
      <c r="AJ27" s="1016"/>
      <c r="AK27" s="1016"/>
      <c r="AL27" s="1016"/>
      <c r="AM27" s="1016"/>
      <c r="AN27" s="1016"/>
      <c r="AO27" s="1016"/>
      <c r="AP27" s="1016"/>
      <c r="AQ27" s="1016"/>
      <c r="AR27" s="1016"/>
      <c r="AS27" s="1016"/>
      <c r="AT27" s="1016"/>
      <c r="AU27" s="1016"/>
      <c r="AV27" s="1016"/>
      <c r="AW27" s="1016"/>
    </row>
    <row r="28" spans="2:49" x14ac:dyDescent="0.2">
      <c r="B28" s="1018" t="s">
        <v>874</v>
      </c>
      <c r="C28" s="1019" t="s">
        <v>869</v>
      </c>
      <c r="D28" s="1020" t="s">
        <v>876</v>
      </c>
      <c r="E28" s="1020" t="s">
        <v>871</v>
      </c>
      <c r="F28" s="1020"/>
      <c r="G28" s="1020" t="s">
        <v>1643</v>
      </c>
      <c r="H28" s="1659">
        <v>50000</v>
      </c>
      <c r="I28" s="1659">
        <v>50000</v>
      </c>
      <c r="J28" s="1077">
        <f t="shared" si="0"/>
        <v>100</v>
      </c>
      <c r="K28" s="1661">
        <v>25000000</v>
      </c>
      <c r="L28" s="1661">
        <v>25000000</v>
      </c>
      <c r="M28" s="1078">
        <f t="shared" si="1"/>
        <v>100</v>
      </c>
      <c r="N28" s="1661">
        <v>25000000</v>
      </c>
      <c r="O28" s="1661">
        <v>25000000</v>
      </c>
      <c r="P28" s="1078">
        <f t="shared" si="2"/>
        <v>100</v>
      </c>
      <c r="Q28" s="1659">
        <v>100</v>
      </c>
      <c r="R28" s="1659">
        <v>120</v>
      </c>
      <c r="S28" s="1078">
        <f t="shared" si="3"/>
        <v>80</v>
      </c>
      <c r="T28" s="1661">
        <f t="shared" si="4"/>
        <v>25000000</v>
      </c>
      <c r="U28" s="1661">
        <v>25000000</v>
      </c>
      <c r="V28" s="1078">
        <f t="shared" si="5"/>
        <v>100</v>
      </c>
      <c r="W28" s="1016"/>
      <c r="X28" s="1016"/>
      <c r="Y28" s="1016"/>
      <c r="Z28" s="1016"/>
      <c r="AA28" s="1016"/>
      <c r="AB28" s="1016"/>
      <c r="AC28" s="1016"/>
      <c r="AD28" s="1016"/>
      <c r="AE28" s="1016"/>
      <c r="AF28" s="1016"/>
      <c r="AG28" s="1016"/>
      <c r="AH28" s="1016"/>
      <c r="AI28" s="1016"/>
      <c r="AJ28" s="1016"/>
      <c r="AK28" s="1016"/>
      <c r="AL28" s="1016"/>
      <c r="AM28" s="1016"/>
      <c r="AN28" s="1016"/>
      <c r="AO28" s="1016"/>
      <c r="AP28" s="1016"/>
      <c r="AQ28" s="1016"/>
      <c r="AR28" s="1016"/>
      <c r="AS28" s="1016"/>
      <c r="AT28" s="1016"/>
      <c r="AU28" s="1016"/>
      <c r="AV28" s="1016"/>
      <c r="AW28" s="1016"/>
    </row>
    <row r="29" spans="2:49" x14ac:dyDescent="0.2">
      <c r="B29" s="1018" t="s">
        <v>874</v>
      </c>
      <c r="C29" s="1022" t="s">
        <v>877</v>
      </c>
      <c r="D29" s="1020" t="s">
        <v>876</v>
      </c>
      <c r="E29" s="1023" t="s">
        <v>878</v>
      </c>
      <c r="F29" s="1023"/>
      <c r="G29" s="1020" t="s">
        <v>1643</v>
      </c>
      <c r="H29" s="1659">
        <v>25000</v>
      </c>
      <c r="I29" s="1659">
        <v>25000</v>
      </c>
      <c r="J29" s="1077">
        <f t="shared" si="0"/>
        <v>100</v>
      </c>
      <c r="K29" s="1661">
        <v>45000000</v>
      </c>
      <c r="L29" s="1661">
        <v>45000000</v>
      </c>
      <c r="M29" s="1078">
        <f t="shared" si="1"/>
        <v>100</v>
      </c>
      <c r="N29" s="1661">
        <v>45000000</v>
      </c>
      <c r="O29" s="1661">
        <v>45000000</v>
      </c>
      <c r="P29" s="1078">
        <f t="shared" si="2"/>
        <v>100</v>
      </c>
      <c r="Q29" s="1659">
        <v>25</v>
      </c>
      <c r="R29" s="1659">
        <v>26</v>
      </c>
      <c r="S29" s="1078">
        <f t="shared" si="3"/>
        <v>99</v>
      </c>
      <c r="T29" s="1661">
        <f t="shared" si="4"/>
        <v>45000000</v>
      </c>
      <c r="U29" s="1661">
        <v>45000000</v>
      </c>
      <c r="V29" s="1078">
        <f t="shared" si="5"/>
        <v>100</v>
      </c>
      <c r="W29" s="1016"/>
      <c r="X29" s="1016"/>
      <c r="Y29" s="1016"/>
      <c r="Z29" s="1016"/>
      <c r="AA29" s="1016"/>
      <c r="AB29" s="1016"/>
      <c r="AC29" s="1016"/>
      <c r="AD29" s="1016"/>
      <c r="AE29" s="1016"/>
      <c r="AF29" s="1016"/>
      <c r="AG29" s="1016"/>
      <c r="AH29" s="1016"/>
      <c r="AI29" s="1016"/>
      <c r="AJ29" s="1016"/>
      <c r="AK29" s="1016"/>
      <c r="AL29" s="1016"/>
      <c r="AM29" s="1016"/>
      <c r="AN29" s="1016"/>
      <c r="AO29" s="1016"/>
      <c r="AP29" s="1016"/>
      <c r="AQ29" s="1016"/>
      <c r="AR29" s="1016"/>
      <c r="AS29" s="1016"/>
      <c r="AT29" s="1016"/>
      <c r="AU29" s="1016"/>
      <c r="AV29" s="1016"/>
      <c r="AW29" s="1016"/>
    </row>
    <row r="30" spans="2:49" x14ac:dyDescent="0.2">
      <c r="B30" s="1018" t="s">
        <v>874</v>
      </c>
      <c r="C30" s="1022" t="s">
        <v>877</v>
      </c>
      <c r="D30" s="1023" t="s">
        <v>879</v>
      </c>
      <c r="E30" s="1023" t="s">
        <v>873</v>
      </c>
      <c r="F30" s="1023"/>
      <c r="G30" s="1020" t="s">
        <v>1643</v>
      </c>
      <c r="H30" s="1659">
        <v>10000</v>
      </c>
      <c r="I30" s="1659">
        <v>8000</v>
      </c>
      <c r="J30" s="1077">
        <f t="shared" si="0"/>
        <v>80</v>
      </c>
      <c r="K30" s="1661">
        <v>80000000</v>
      </c>
      <c r="L30" s="1661">
        <v>78000000</v>
      </c>
      <c r="M30" s="1078">
        <f t="shared" si="1"/>
        <v>97.5</v>
      </c>
      <c r="N30" s="1661">
        <v>80000000</v>
      </c>
      <c r="O30" s="1661">
        <v>78000000</v>
      </c>
      <c r="P30" s="1078">
        <f t="shared" si="2"/>
        <v>97.5</v>
      </c>
      <c r="Q30" s="1659">
        <v>40</v>
      </c>
      <c r="R30" s="1659">
        <v>10</v>
      </c>
      <c r="S30" s="1078">
        <f t="shared" si="3"/>
        <v>100</v>
      </c>
      <c r="T30" s="1661">
        <f t="shared" si="4"/>
        <v>78000000</v>
      </c>
      <c r="U30" s="1661">
        <v>65000000</v>
      </c>
      <c r="V30" s="1078">
        <f t="shared" si="5"/>
        <v>83.333333333333343</v>
      </c>
      <c r="W30" s="1016"/>
      <c r="X30" s="1016"/>
      <c r="Y30" s="1016"/>
      <c r="Z30" s="1016"/>
      <c r="AA30" s="1016"/>
      <c r="AB30" s="1016"/>
      <c r="AC30" s="1016"/>
      <c r="AD30" s="1016"/>
      <c r="AE30" s="1016"/>
      <c r="AF30" s="1016"/>
      <c r="AG30" s="1016"/>
      <c r="AH30" s="1016"/>
      <c r="AI30" s="1016"/>
      <c r="AJ30" s="1016"/>
      <c r="AK30" s="1016"/>
      <c r="AL30" s="1016"/>
      <c r="AM30" s="1016"/>
      <c r="AN30" s="1016"/>
      <c r="AO30" s="1016"/>
      <c r="AP30" s="1016"/>
      <c r="AQ30" s="1016"/>
      <c r="AR30" s="1016"/>
      <c r="AS30" s="1016"/>
      <c r="AT30" s="1016"/>
      <c r="AU30" s="1016"/>
      <c r="AV30" s="1016"/>
      <c r="AW30" s="1016"/>
    </row>
    <row r="31" spans="2:49" x14ac:dyDescent="0.2">
      <c r="B31" s="1024" t="s">
        <v>880</v>
      </c>
      <c r="C31" s="1025" t="s">
        <v>869</v>
      </c>
      <c r="D31" s="1026" t="s">
        <v>881</v>
      </c>
      <c r="E31" s="1026" t="s">
        <v>871</v>
      </c>
      <c r="F31" s="1026"/>
      <c r="G31" s="1020" t="s">
        <v>1643</v>
      </c>
      <c r="H31" s="1659">
        <v>2000</v>
      </c>
      <c r="I31" s="1659">
        <v>1500</v>
      </c>
      <c r="J31" s="1077">
        <f t="shared" si="0"/>
        <v>75</v>
      </c>
      <c r="K31" s="1661">
        <v>90000000</v>
      </c>
      <c r="L31" s="1661">
        <v>89000000</v>
      </c>
      <c r="M31" s="1078">
        <f t="shared" si="1"/>
        <v>98.888888888888886</v>
      </c>
      <c r="N31" s="1661">
        <v>90000000</v>
      </c>
      <c r="O31" s="1661">
        <v>89000000</v>
      </c>
      <c r="P31" s="1078">
        <f t="shared" si="2"/>
        <v>98.888888888888886</v>
      </c>
      <c r="Q31" s="1659">
        <v>70</v>
      </c>
      <c r="R31" s="1659">
        <v>72</v>
      </c>
      <c r="S31" s="1078">
        <f t="shared" si="3"/>
        <v>98</v>
      </c>
      <c r="T31" s="1661">
        <f t="shared" si="4"/>
        <v>89000000</v>
      </c>
      <c r="U31" s="1661">
        <v>80000000</v>
      </c>
      <c r="V31" s="1078">
        <f t="shared" si="5"/>
        <v>89.887640449438194</v>
      </c>
      <c r="W31" s="1016"/>
      <c r="X31" s="1016"/>
      <c r="Y31" s="1016"/>
      <c r="Z31" s="1016"/>
      <c r="AA31" s="1016"/>
      <c r="AB31" s="1016"/>
      <c r="AC31" s="1016"/>
      <c r="AD31" s="1016"/>
      <c r="AE31" s="1016"/>
      <c r="AF31" s="1016"/>
      <c r="AG31" s="1016"/>
      <c r="AH31" s="1016"/>
      <c r="AI31" s="1016"/>
      <c r="AJ31" s="1016"/>
      <c r="AK31" s="1016"/>
      <c r="AL31" s="1016"/>
      <c r="AM31" s="1016"/>
      <c r="AN31" s="1016"/>
      <c r="AO31" s="1016"/>
      <c r="AP31" s="1016"/>
      <c r="AQ31" s="1016"/>
      <c r="AR31" s="1016"/>
      <c r="AS31" s="1016"/>
      <c r="AT31" s="1016"/>
      <c r="AU31" s="1016"/>
      <c r="AV31" s="1016"/>
      <c r="AW31" s="1016"/>
    </row>
    <row r="32" spans="2:49" x14ac:dyDescent="0.2">
      <c r="B32" s="1024" t="s">
        <v>880</v>
      </c>
      <c r="C32" s="1025" t="s">
        <v>869</v>
      </c>
      <c r="D32" s="1026" t="s">
        <v>882</v>
      </c>
      <c r="E32" s="1026" t="s">
        <v>873</v>
      </c>
      <c r="F32" s="1026"/>
      <c r="G32" s="1020" t="s">
        <v>1643</v>
      </c>
      <c r="H32" s="1659">
        <v>1000</v>
      </c>
      <c r="I32" s="1659">
        <v>800</v>
      </c>
      <c r="J32" s="1077">
        <f t="shared" si="0"/>
        <v>80</v>
      </c>
      <c r="K32" s="1661">
        <v>95000000</v>
      </c>
      <c r="L32" s="1661">
        <v>90000000</v>
      </c>
      <c r="M32" s="1078">
        <f t="shared" si="1"/>
        <v>94.73684210526315</v>
      </c>
      <c r="N32" s="1661">
        <v>95000000</v>
      </c>
      <c r="O32" s="1661">
        <v>90000000</v>
      </c>
      <c r="P32" s="1078">
        <f t="shared" si="2"/>
        <v>94.73684210526315</v>
      </c>
      <c r="Q32" s="1659">
        <v>100</v>
      </c>
      <c r="R32" s="1659">
        <v>98</v>
      </c>
      <c r="S32" s="1078">
        <f t="shared" si="3"/>
        <v>100</v>
      </c>
      <c r="T32" s="1661">
        <f t="shared" si="4"/>
        <v>90000000</v>
      </c>
      <c r="U32" s="1661">
        <v>40000000</v>
      </c>
      <c r="V32" s="1078">
        <f t="shared" si="5"/>
        <v>44.444444444444443</v>
      </c>
      <c r="W32" s="1016"/>
      <c r="X32" s="1016"/>
      <c r="Y32" s="1016"/>
      <c r="Z32" s="1016"/>
      <c r="AA32" s="1016"/>
      <c r="AB32" s="1016"/>
      <c r="AC32" s="1016"/>
      <c r="AD32" s="1016"/>
      <c r="AE32" s="1016"/>
      <c r="AF32" s="1016"/>
      <c r="AG32" s="1016"/>
      <c r="AH32" s="1016"/>
      <c r="AI32" s="1016"/>
      <c r="AJ32" s="1016"/>
      <c r="AK32" s="1016"/>
      <c r="AL32" s="1016"/>
      <c r="AM32" s="1016"/>
      <c r="AN32" s="1016"/>
      <c r="AO32" s="1016"/>
      <c r="AP32" s="1016"/>
      <c r="AQ32" s="1016"/>
      <c r="AR32" s="1016"/>
      <c r="AS32" s="1016"/>
      <c r="AT32" s="1016"/>
      <c r="AU32" s="1016"/>
      <c r="AV32" s="1016"/>
      <c r="AW32" s="1016"/>
    </row>
    <row r="33" spans="2:49" x14ac:dyDescent="0.2">
      <c r="B33" s="1024" t="s">
        <v>880</v>
      </c>
      <c r="C33" s="1027" t="s">
        <v>877</v>
      </c>
      <c r="D33" s="1028" t="s">
        <v>883</v>
      </c>
      <c r="E33" s="1028" t="s">
        <v>871</v>
      </c>
      <c r="F33" s="1028"/>
      <c r="G33" s="1020" t="s">
        <v>1643</v>
      </c>
      <c r="H33" s="1659">
        <v>500</v>
      </c>
      <c r="I33" s="1659">
        <v>500</v>
      </c>
      <c r="J33" s="1077">
        <f t="shared" si="0"/>
        <v>100</v>
      </c>
      <c r="K33" s="1661">
        <v>45000000</v>
      </c>
      <c r="L33" s="1661">
        <v>45000000</v>
      </c>
      <c r="M33" s="1078">
        <f t="shared" si="1"/>
        <v>100</v>
      </c>
      <c r="N33" s="1661">
        <v>45000000</v>
      </c>
      <c r="O33" s="1661">
        <v>44000000</v>
      </c>
      <c r="P33" s="1078">
        <f t="shared" si="2"/>
        <v>97.777777777777771</v>
      </c>
      <c r="Q33" s="1659">
        <v>80</v>
      </c>
      <c r="R33" s="1659">
        <v>78</v>
      </c>
      <c r="S33" s="1078">
        <f t="shared" si="3"/>
        <v>100</v>
      </c>
      <c r="T33" s="1661">
        <f t="shared" si="4"/>
        <v>44000000</v>
      </c>
      <c r="U33" s="1661">
        <v>35000000</v>
      </c>
      <c r="V33" s="1078">
        <f t="shared" si="5"/>
        <v>79.545454545454547</v>
      </c>
      <c r="W33" s="1016"/>
      <c r="X33" s="1016"/>
      <c r="Y33" s="1016"/>
      <c r="Z33" s="1016"/>
      <c r="AA33" s="1016"/>
      <c r="AB33" s="1016"/>
      <c r="AC33" s="1016"/>
      <c r="AD33" s="1016"/>
      <c r="AE33" s="1016"/>
      <c r="AF33" s="1016"/>
      <c r="AG33" s="1016"/>
      <c r="AH33" s="1016"/>
      <c r="AI33" s="1016"/>
      <c r="AJ33" s="1016"/>
      <c r="AK33" s="1016"/>
      <c r="AL33" s="1016"/>
      <c r="AM33" s="1016"/>
      <c r="AN33" s="1016"/>
      <c r="AO33" s="1016"/>
      <c r="AP33" s="1016"/>
      <c r="AQ33" s="1016"/>
      <c r="AR33" s="1016"/>
      <c r="AS33" s="1016"/>
      <c r="AT33" s="1016"/>
      <c r="AU33" s="1016"/>
      <c r="AV33" s="1016"/>
      <c r="AW33" s="1016"/>
    </row>
    <row r="34" spans="2:49" x14ac:dyDescent="0.2">
      <c r="B34" s="1029"/>
      <c r="C34" s="1030"/>
      <c r="D34" s="1029"/>
      <c r="E34" s="1031"/>
      <c r="F34" s="1031"/>
      <c r="G34" s="1020"/>
      <c r="H34" s="1659"/>
      <c r="I34" s="1659"/>
      <c r="J34" s="1077" t="str">
        <f t="shared" si="0"/>
        <v/>
      </c>
      <c r="K34" s="1661"/>
      <c r="L34" s="1661"/>
      <c r="M34" s="1078" t="str">
        <f t="shared" si="1"/>
        <v/>
      </c>
      <c r="N34" s="1661"/>
      <c r="O34" s="1661"/>
      <c r="P34" s="1078" t="str">
        <f t="shared" si="2"/>
        <v/>
      </c>
      <c r="Q34" s="1659"/>
      <c r="R34" s="1659"/>
      <c r="S34" s="1078" t="str">
        <f t="shared" si="3"/>
        <v/>
      </c>
      <c r="T34" s="1661"/>
      <c r="U34" s="1661"/>
      <c r="V34" s="1078" t="str">
        <f t="shared" si="5"/>
        <v/>
      </c>
      <c r="W34" s="1016"/>
      <c r="X34" s="1016"/>
      <c r="Y34" s="1016"/>
      <c r="Z34" s="1016"/>
      <c r="AA34" s="1016"/>
      <c r="AB34" s="1016"/>
      <c r="AC34" s="1016"/>
      <c r="AD34" s="1016"/>
      <c r="AE34" s="1016"/>
      <c r="AF34" s="1016"/>
      <c r="AG34" s="1016"/>
      <c r="AH34" s="1016"/>
      <c r="AI34" s="1016"/>
      <c r="AJ34" s="1016"/>
      <c r="AK34" s="1016"/>
      <c r="AL34" s="1016"/>
      <c r="AM34" s="1016"/>
      <c r="AN34" s="1016"/>
      <c r="AO34" s="1016"/>
      <c r="AP34" s="1016"/>
      <c r="AQ34" s="1016"/>
      <c r="AR34" s="1016"/>
      <c r="AS34" s="1016"/>
      <c r="AT34" s="1016"/>
      <c r="AU34" s="1016"/>
      <c r="AV34" s="1016"/>
      <c r="AW34" s="1016"/>
    </row>
    <row r="35" spans="2:49" x14ac:dyDescent="0.2">
      <c r="B35" s="1029"/>
      <c r="C35" s="1030"/>
      <c r="D35" s="1029"/>
      <c r="E35" s="1032"/>
      <c r="F35" s="1032"/>
      <c r="G35" s="1020"/>
      <c r="H35" s="1659"/>
      <c r="I35" s="1659"/>
      <c r="J35" s="1077" t="str">
        <f t="shared" si="0"/>
        <v/>
      </c>
      <c r="K35" s="1661"/>
      <c r="L35" s="1661"/>
      <c r="M35" s="1078" t="str">
        <f t="shared" si="1"/>
        <v/>
      </c>
      <c r="N35" s="1661"/>
      <c r="O35" s="1661"/>
      <c r="P35" s="1078" t="str">
        <f t="shared" si="2"/>
        <v/>
      </c>
      <c r="Q35" s="1659"/>
      <c r="R35" s="1659"/>
      <c r="S35" s="1078" t="str">
        <f t="shared" si="3"/>
        <v/>
      </c>
      <c r="T35" s="1661"/>
      <c r="U35" s="1661"/>
      <c r="V35" s="1078" t="str">
        <f t="shared" si="5"/>
        <v/>
      </c>
      <c r="W35" s="1016"/>
      <c r="X35" s="1016"/>
      <c r="Y35" s="1016"/>
      <c r="Z35" s="1016"/>
      <c r="AA35" s="1016"/>
      <c r="AB35" s="1016"/>
      <c r="AC35" s="1016"/>
      <c r="AD35" s="1016"/>
      <c r="AE35" s="1016"/>
      <c r="AF35" s="1016"/>
      <c r="AG35" s="1016"/>
      <c r="AH35" s="1016"/>
      <c r="AI35" s="1016"/>
      <c r="AJ35" s="1016"/>
      <c r="AK35" s="1016"/>
      <c r="AL35" s="1016"/>
      <c r="AM35" s="1016"/>
      <c r="AN35" s="1016"/>
      <c r="AO35" s="1016"/>
      <c r="AP35" s="1016"/>
      <c r="AQ35" s="1016"/>
      <c r="AR35" s="1016"/>
      <c r="AS35" s="1016"/>
      <c r="AT35" s="1016"/>
      <c r="AU35" s="1016"/>
      <c r="AV35" s="1016"/>
      <c r="AW35" s="1016"/>
    </row>
    <row r="36" spans="2:49" x14ac:dyDescent="0.2">
      <c r="B36" s="1029"/>
      <c r="C36" s="1030"/>
      <c r="D36" s="1029"/>
      <c r="E36" s="1032"/>
      <c r="F36" s="1032"/>
      <c r="G36" s="1020"/>
      <c r="H36" s="1659"/>
      <c r="I36" s="1659"/>
      <c r="J36" s="1077" t="str">
        <f t="shared" si="0"/>
        <v/>
      </c>
      <c r="K36" s="1661"/>
      <c r="L36" s="1661"/>
      <c r="M36" s="1078" t="str">
        <f t="shared" si="1"/>
        <v/>
      </c>
      <c r="N36" s="1661"/>
      <c r="O36" s="1661"/>
      <c r="P36" s="1078" t="str">
        <f t="shared" si="2"/>
        <v/>
      </c>
      <c r="Q36" s="1659"/>
      <c r="R36" s="1659"/>
      <c r="S36" s="1078" t="str">
        <f t="shared" si="3"/>
        <v/>
      </c>
      <c r="T36" s="1661"/>
      <c r="U36" s="1661"/>
      <c r="V36" s="1078" t="str">
        <f t="shared" si="5"/>
        <v/>
      </c>
      <c r="W36" s="1016"/>
      <c r="X36" s="1016"/>
      <c r="Y36" s="1016"/>
      <c r="Z36" s="1016"/>
      <c r="AA36" s="1016"/>
      <c r="AB36" s="1016"/>
      <c r="AC36" s="1016"/>
      <c r="AD36" s="1016"/>
      <c r="AE36" s="1016"/>
      <c r="AF36" s="1016"/>
      <c r="AG36" s="1016"/>
      <c r="AH36" s="1016"/>
      <c r="AI36" s="1016"/>
      <c r="AJ36" s="1016"/>
      <c r="AK36" s="1016"/>
      <c r="AL36" s="1016"/>
      <c r="AM36" s="1016"/>
      <c r="AN36" s="1016"/>
      <c r="AO36" s="1016"/>
      <c r="AP36" s="1016"/>
      <c r="AQ36" s="1016"/>
      <c r="AR36" s="1016"/>
      <c r="AS36" s="1016"/>
      <c r="AT36" s="1016"/>
      <c r="AU36" s="1016"/>
      <c r="AV36" s="1016"/>
      <c r="AW36" s="1016"/>
    </row>
    <row r="37" spans="2:49" x14ac:dyDescent="0.2">
      <c r="B37" s="1029"/>
      <c r="C37" s="1030"/>
      <c r="D37" s="1029"/>
      <c r="E37" s="1032"/>
      <c r="F37" s="1032"/>
      <c r="G37" s="1020"/>
      <c r="H37" s="1659"/>
      <c r="I37" s="1659"/>
      <c r="J37" s="1077" t="str">
        <f t="shared" si="0"/>
        <v/>
      </c>
      <c r="K37" s="1661"/>
      <c r="L37" s="1661"/>
      <c r="M37" s="1078" t="str">
        <f t="shared" si="1"/>
        <v/>
      </c>
      <c r="N37" s="1661"/>
      <c r="O37" s="1661"/>
      <c r="P37" s="1078" t="str">
        <f t="shared" si="2"/>
        <v/>
      </c>
      <c r="Q37" s="1659"/>
      <c r="R37" s="1659"/>
      <c r="S37" s="1078" t="str">
        <f t="shared" si="3"/>
        <v/>
      </c>
      <c r="T37" s="1661"/>
      <c r="U37" s="1661"/>
      <c r="V37" s="1078" t="str">
        <f t="shared" si="5"/>
        <v/>
      </c>
      <c r="W37" s="1016"/>
      <c r="X37" s="1016"/>
      <c r="Y37" s="1016"/>
      <c r="Z37" s="1016"/>
      <c r="AA37" s="1016"/>
      <c r="AB37" s="1016"/>
      <c r="AC37" s="1016"/>
      <c r="AD37" s="1016"/>
      <c r="AE37" s="1016"/>
      <c r="AF37" s="1016"/>
      <c r="AG37" s="1016"/>
      <c r="AH37" s="1016"/>
      <c r="AI37" s="1016"/>
      <c r="AJ37" s="1016"/>
      <c r="AK37" s="1016"/>
      <c r="AL37" s="1016"/>
      <c r="AM37" s="1016"/>
      <c r="AN37" s="1016"/>
      <c r="AO37" s="1016"/>
      <c r="AP37" s="1016"/>
      <c r="AQ37" s="1016"/>
      <c r="AR37" s="1016"/>
      <c r="AS37" s="1016"/>
      <c r="AT37" s="1016"/>
      <c r="AU37" s="1016"/>
      <c r="AV37" s="1016"/>
      <c r="AW37" s="1016"/>
    </row>
    <row r="38" spans="2:49" x14ac:dyDescent="0.2">
      <c r="B38" s="1029"/>
      <c r="C38" s="1030"/>
      <c r="D38" s="1029"/>
      <c r="E38" s="1032"/>
      <c r="F38" s="1032"/>
      <c r="G38" s="1020"/>
      <c r="H38" s="1659"/>
      <c r="I38" s="1659"/>
      <c r="J38" s="1077" t="str">
        <f t="shared" si="0"/>
        <v/>
      </c>
      <c r="K38" s="1661"/>
      <c r="L38" s="1661"/>
      <c r="M38" s="1078" t="str">
        <f t="shared" si="1"/>
        <v/>
      </c>
      <c r="N38" s="1661"/>
      <c r="O38" s="1661"/>
      <c r="P38" s="1078" t="str">
        <f t="shared" si="2"/>
        <v/>
      </c>
      <c r="Q38" s="1659"/>
      <c r="R38" s="1659"/>
      <c r="S38" s="1078" t="str">
        <f t="shared" si="3"/>
        <v/>
      </c>
      <c r="T38" s="1661"/>
      <c r="U38" s="1661"/>
      <c r="V38" s="1078" t="str">
        <f t="shared" si="5"/>
        <v/>
      </c>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6"/>
      <c r="AT38" s="1016"/>
      <c r="AU38" s="1016"/>
      <c r="AV38" s="1016"/>
      <c r="AW38" s="1016"/>
    </row>
    <row r="39" spans="2:49" x14ac:dyDescent="0.2">
      <c r="B39" s="1029"/>
      <c r="C39" s="1030"/>
      <c r="D39" s="1029"/>
      <c r="E39" s="1032"/>
      <c r="F39" s="1032"/>
      <c r="G39" s="1020"/>
      <c r="H39" s="1659"/>
      <c r="I39" s="1659"/>
      <c r="J39" s="1077" t="str">
        <f t="shared" si="0"/>
        <v/>
      </c>
      <c r="K39" s="1661"/>
      <c r="L39" s="1661"/>
      <c r="M39" s="1078" t="str">
        <f t="shared" si="1"/>
        <v/>
      </c>
      <c r="N39" s="1661"/>
      <c r="O39" s="1661"/>
      <c r="P39" s="1078" t="str">
        <f t="shared" si="2"/>
        <v/>
      </c>
      <c r="Q39" s="1659"/>
      <c r="R39" s="1659"/>
      <c r="S39" s="1078" t="str">
        <f t="shared" si="3"/>
        <v/>
      </c>
      <c r="T39" s="1661"/>
      <c r="U39" s="1661"/>
      <c r="V39" s="1078" t="str">
        <f t="shared" si="5"/>
        <v/>
      </c>
      <c r="W39" s="1016"/>
      <c r="X39" s="1016"/>
      <c r="Y39" s="1016"/>
      <c r="Z39" s="1016"/>
      <c r="AA39" s="1016"/>
      <c r="AB39" s="1016"/>
      <c r="AC39" s="1016"/>
      <c r="AD39" s="1016"/>
      <c r="AE39" s="1016"/>
      <c r="AF39" s="1016"/>
      <c r="AG39" s="1016"/>
      <c r="AH39" s="1016"/>
      <c r="AI39" s="1016"/>
      <c r="AJ39" s="1016"/>
      <c r="AK39" s="1016"/>
      <c r="AL39" s="1016"/>
      <c r="AM39" s="1016"/>
      <c r="AN39" s="1016"/>
      <c r="AO39" s="1016"/>
      <c r="AP39" s="1016"/>
      <c r="AQ39" s="1016"/>
      <c r="AR39" s="1016"/>
      <c r="AS39" s="1016"/>
      <c r="AT39" s="1016"/>
      <c r="AU39" s="1016"/>
      <c r="AV39" s="1016"/>
      <c r="AW39" s="1016"/>
    </row>
    <row r="40" spans="2:49" x14ac:dyDescent="0.2">
      <c r="B40" s="1029"/>
      <c r="C40" s="1030"/>
      <c r="D40" s="1029"/>
      <c r="E40" s="1032"/>
      <c r="F40" s="1032"/>
      <c r="G40" s="1020"/>
      <c r="H40" s="1659"/>
      <c r="I40" s="1659"/>
      <c r="J40" s="1077" t="str">
        <f t="shared" si="0"/>
        <v/>
      </c>
      <c r="K40" s="1661"/>
      <c r="L40" s="1661"/>
      <c r="M40" s="1078" t="str">
        <f t="shared" si="1"/>
        <v/>
      </c>
      <c r="N40" s="1661"/>
      <c r="O40" s="1661"/>
      <c r="P40" s="1078" t="str">
        <f t="shared" si="2"/>
        <v/>
      </c>
      <c r="Q40" s="1659"/>
      <c r="R40" s="1659"/>
      <c r="S40" s="1078" t="str">
        <f t="shared" si="3"/>
        <v/>
      </c>
      <c r="T40" s="1661"/>
      <c r="U40" s="1661"/>
      <c r="V40" s="1078" t="str">
        <f t="shared" si="5"/>
        <v/>
      </c>
      <c r="W40" s="1016"/>
      <c r="X40" s="1016"/>
      <c r="Y40" s="1016"/>
      <c r="Z40" s="1016"/>
      <c r="AA40" s="1016"/>
      <c r="AB40" s="1016"/>
      <c r="AC40" s="1016"/>
      <c r="AD40" s="1016"/>
      <c r="AE40" s="1016"/>
      <c r="AF40" s="1016"/>
      <c r="AG40" s="1016"/>
      <c r="AH40" s="1016"/>
      <c r="AI40" s="1016"/>
      <c r="AJ40" s="1016"/>
      <c r="AK40" s="1016"/>
      <c r="AL40" s="1016"/>
      <c r="AM40" s="1016"/>
      <c r="AN40" s="1016"/>
      <c r="AO40" s="1016"/>
      <c r="AP40" s="1016"/>
      <c r="AQ40" s="1016"/>
      <c r="AR40" s="1016"/>
      <c r="AS40" s="1016"/>
      <c r="AT40" s="1016"/>
      <c r="AU40" s="1016"/>
      <c r="AV40" s="1016"/>
      <c r="AW40" s="1016"/>
    </row>
    <row r="41" spans="2:49" x14ac:dyDescent="0.2">
      <c r="B41" s="1029"/>
      <c r="C41" s="1030"/>
      <c r="D41" s="1029"/>
      <c r="E41" s="1032"/>
      <c r="F41" s="1032"/>
      <c r="G41" s="1020"/>
      <c r="H41" s="1659"/>
      <c r="I41" s="1659"/>
      <c r="J41" s="1077" t="str">
        <f t="shared" si="0"/>
        <v/>
      </c>
      <c r="K41" s="1661"/>
      <c r="L41" s="1661"/>
      <c r="M41" s="1078" t="str">
        <f t="shared" si="1"/>
        <v/>
      </c>
      <c r="N41" s="1661"/>
      <c r="O41" s="1661"/>
      <c r="P41" s="1078" t="str">
        <f t="shared" si="2"/>
        <v/>
      </c>
      <c r="Q41" s="1659"/>
      <c r="R41" s="1659"/>
      <c r="S41" s="1078" t="str">
        <f t="shared" si="3"/>
        <v/>
      </c>
      <c r="T41" s="1661"/>
      <c r="U41" s="1661"/>
      <c r="V41" s="1078" t="str">
        <f t="shared" si="5"/>
        <v/>
      </c>
      <c r="W41" s="1016"/>
      <c r="X41" s="1016"/>
      <c r="Y41" s="1016"/>
      <c r="Z41" s="1016"/>
      <c r="AA41" s="1016"/>
      <c r="AB41" s="1016"/>
      <c r="AC41" s="1016"/>
      <c r="AD41" s="1016"/>
      <c r="AE41" s="1016"/>
      <c r="AF41" s="1016"/>
      <c r="AG41" s="1016"/>
      <c r="AH41" s="1016"/>
      <c r="AI41" s="1016"/>
      <c r="AJ41" s="1016"/>
      <c r="AK41" s="1016"/>
      <c r="AL41" s="1016"/>
      <c r="AM41" s="1016"/>
      <c r="AN41" s="1016"/>
      <c r="AO41" s="1016"/>
      <c r="AP41" s="1016"/>
      <c r="AQ41" s="1016"/>
      <c r="AR41" s="1016"/>
      <c r="AS41" s="1016"/>
      <c r="AT41" s="1016"/>
      <c r="AU41" s="1016"/>
      <c r="AV41" s="1016"/>
      <c r="AW41" s="1016"/>
    </row>
    <row r="42" spans="2:49" x14ac:dyDescent="0.2">
      <c r="B42" s="1029"/>
      <c r="C42" s="1030"/>
      <c r="D42" s="1029"/>
      <c r="E42" s="1032"/>
      <c r="F42" s="1032"/>
      <c r="G42" s="1020"/>
      <c r="H42" s="1659"/>
      <c r="I42" s="1659"/>
      <c r="J42" s="1077" t="str">
        <f t="shared" si="0"/>
        <v/>
      </c>
      <c r="K42" s="1661"/>
      <c r="L42" s="1661"/>
      <c r="M42" s="1078" t="str">
        <f t="shared" si="1"/>
        <v/>
      </c>
      <c r="N42" s="1661"/>
      <c r="O42" s="1661"/>
      <c r="P42" s="1078" t="str">
        <f t="shared" si="2"/>
        <v/>
      </c>
      <c r="Q42" s="1659"/>
      <c r="R42" s="1659"/>
      <c r="S42" s="1078" t="str">
        <f t="shared" si="3"/>
        <v/>
      </c>
      <c r="T42" s="1661"/>
      <c r="U42" s="1661"/>
      <c r="V42" s="1078" t="str">
        <f t="shared" si="5"/>
        <v/>
      </c>
      <c r="W42" s="1016"/>
      <c r="X42" s="1033"/>
      <c r="Y42" s="1016"/>
      <c r="Z42" s="1016"/>
      <c r="AA42" s="1016"/>
      <c r="AB42" s="1016"/>
      <c r="AC42" s="1016"/>
      <c r="AD42" s="1016"/>
      <c r="AE42" s="1016"/>
      <c r="AF42" s="1016"/>
      <c r="AG42" s="1016"/>
      <c r="AH42" s="1016"/>
      <c r="AI42" s="1016"/>
      <c r="AJ42" s="1016"/>
      <c r="AK42" s="1016"/>
      <c r="AL42" s="1016"/>
      <c r="AM42" s="1016"/>
      <c r="AN42" s="1016"/>
      <c r="AO42" s="1016"/>
      <c r="AP42" s="1016"/>
      <c r="AQ42" s="1016"/>
      <c r="AR42" s="1016"/>
      <c r="AS42" s="1016"/>
      <c r="AT42" s="1016"/>
      <c r="AU42" s="1016"/>
      <c r="AV42" s="1016"/>
      <c r="AW42" s="1016"/>
    </row>
    <row r="43" spans="2:49" x14ac:dyDescent="0.2">
      <c r="B43" s="1029"/>
      <c r="C43" s="1030"/>
      <c r="D43" s="1029"/>
      <c r="E43" s="1032"/>
      <c r="F43" s="1032"/>
      <c r="G43" s="1020"/>
      <c r="H43" s="1659"/>
      <c r="I43" s="1659"/>
      <c r="J43" s="1077" t="str">
        <f t="shared" si="0"/>
        <v/>
      </c>
      <c r="K43" s="1661"/>
      <c r="L43" s="1661"/>
      <c r="M43" s="1078" t="str">
        <f t="shared" si="1"/>
        <v/>
      </c>
      <c r="N43" s="1661"/>
      <c r="O43" s="1661"/>
      <c r="P43" s="1078" t="str">
        <f t="shared" si="2"/>
        <v/>
      </c>
      <c r="Q43" s="1659"/>
      <c r="R43" s="1659"/>
      <c r="S43" s="1078" t="str">
        <f t="shared" si="3"/>
        <v/>
      </c>
      <c r="T43" s="1661"/>
      <c r="U43" s="1661"/>
      <c r="V43" s="1078" t="str">
        <f t="shared" si="5"/>
        <v/>
      </c>
      <c r="W43" s="1016"/>
      <c r="X43" s="1016"/>
      <c r="Y43" s="1016"/>
      <c r="Z43" s="1016"/>
      <c r="AA43" s="1016"/>
      <c r="AB43" s="1016"/>
      <c r="AC43" s="1016"/>
      <c r="AD43" s="1016"/>
      <c r="AE43" s="1016"/>
      <c r="AF43" s="1016"/>
      <c r="AG43" s="1016"/>
      <c r="AH43" s="1016"/>
      <c r="AI43" s="1016"/>
      <c r="AJ43" s="1016"/>
      <c r="AK43" s="1016"/>
      <c r="AL43" s="1016"/>
      <c r="AM43" s="1016"/>
      <c r="AN43" s="1016"/>
      <c r="AO43" s="1016"/>
      <c r="AP43" s="1016"/>
      <c r="AQ43" s="1016"/>
      <c r="AR43" s="1016"/>
      <c r="AS43" s="1016"/>
      <c r="AT43" s="1016"/>
      <c r="AU43" s="1016"/>
      <c r="AV43" s="1016"/>
      <c r="AW43" s="1016"/>
    </row>
    <row r="44" spans="2:49" x14ac:dyDescent="0.2">
      <c r="B44" s="1029"/>
      <c r="C44" s="1030"/>
      <c r="D44" s="1029"/>
      <c r="E44" s="1032"/>
      <c r="F44" s="1032"/>
      <c r="G44" s="1020"/>
      <c r="H44" s="1659"/>
      <c r="I44" s="1659"/>
      <c r="J44" s="1077" t="str">
        <f t="shared" si="0"/>
        <v/>
      </c>
      <c r="K44" s="1661"/>
      <c r="L44" s="1661"/>
      <c r="M44" s="1078" t="str">
        <f t="shared" si="1"/>
        <v/>
      </c>
      <c r="N44" s="1661"/>
      <c r="O44" s="1661"/>
      <c r="P44" s="1078" t="str">
        <f t="shared" si="2"/>
        <v/>
      </c>
      <c r="Q44" s="1659"/>
      <c r="R44" s="1659"/>
      <c r="S44" s="1078" t="str">
        <f t="shared" si="3"/>
        <v/>
      </c>
      <c r="T44" s="1661"/>
      <c r="U44" s="1661"/>
      <c r="V44" s="1078" t="str">
        <f t="shared" si="5"/>
        <v/>
      </c>
      <c r="W44" s="1016"/>
      <c r="X44" s="1016"/>
      <c r="Y44" s="1016"/>
      <c r="Z44" s="1016"/>
      <c r="AA44" s="1016"/>
      <c r="AB44" s="1016"/>
      <c r="AC44" s="1016"/>
      <c r="AD44" s="1016"/>
      <c r="AE44" s="1016"/>
      <c r="AF44" s="1016"/>
      <c r="AG44" s="1016"/>
      <c r="AH44" s="1016"/>
      <c r="AI44" s="1016"/>
      <c r="AJ44" s="1016"/>
      <c r="AK44" s="1016"/>
      <c r="AL44" s="1016"/>
      <c r="AM44" s="1016"/>
      <c r="AN44" s="1016"/>
      <c r="AO44" s="1016"/>
      <c r="AP44" s="1016"/>
      <c r="AQ44" s="1016"/>
      <c r="AR44" s="1016"/>
      <c r="AS44" s="1016"/>
      <c r="AT44" s="1016"/>
      <c r="AU44" s="1016"/>
      <c r="AV44" s="1016"/>
      <c r="AW44" s="1016"/>
    </row>
    <row r="45" spans="2:49" x14ac:dyDescent="0.2">
      <c r="B45" s="1029"/>
      <c r="C45" s="1030"/>
      <c r="D45" s="1029"/>
      <c r="E45" s="1032"/>
      <c r="F45" s="1032"/>
      <c r="G45" s="1020"/>
      <c r="H45" s="1659"/>
      <c r="I45" s="1659"/>
      <c r="J45" s="1077" t="str">
        <f t="shared" si="0"/>
        <v/>
      </c>
      <c r="K45" s="1661"/>
      <c r="L45" s="1661"/>
      <c r="M45" s="1078" t="str">
        <f t="shared" si="1"/>
        <v/>
      </c>
      <c r="N45" s="1661"/>
      <c r="O45" s="1661"/>
      <c r="P45" s="1078" t="str">
        <f t="shared" si="2"/>
        <v/>
      </c>
      <c r="Q45" s="1659"/>
      <c r="R45" s="1659"/>
      <c r="S45" s="1078" t="str">
        <f t="shared" si="3"/>
        <v/>
      </c>
      <c r="T45" s="1661"/>
      <c r="U45" s="1661"/>
      <c r="V45" s="1078" t="str">
        <f t="shared" si="5"/>
        <v/>
      </c>
      <c r="W45" s="1016"/>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row>
    <row r="46" spans="2:49" x14ac:dyDescent="0.2">
      <c r="B46" s="1029"/>
      <c r="C46" s="1030"/>
      <c r="D46" s="1029"/>
      <c r="E46" s="1032"/>
      <c r="F46" s="1032"/>
      <c r="G46" s="1020"/>
      <c r="H46" s="1659"/>
      <c r="I46" s="1659"/>
      <c r="J46" s="1077" t="str">
        <f t="shared" si="0"/>
        <v/>
      </c>
      <c r="K46" s="1661"/>
      <c r="L46" s="1661"/>
      <c r="M46" s="1078" t="str">
        <f t="shared" si="1"/>
        <v/>
      </c>
      <c r="N46" s="1661"/>
      <c r="O46" s="1661"/>
      <c r="P46" s="1078" t="str">
        <f t="shared" si="2"/>
        <v/>
      </c>
      <c r="Q46" s="1659"/>
      <c r="R46" s="1659"/>
      <c r="S46" s="1078" t="str">
        <f t="shared" si="3"/>
        <v/>
      </c>
      <c r="T46" s="1661"/>
      <c r="U46" s="1661"/>
      <c r="V46" s="1078" t="str">
        <f t="shared" si="5"/>
        <v/>
      </c>
      <c r="W46" s="1016"/>
      <c r="X46" s="1016"/>
      <c r="Y46" s="1016"/>
      <c r="Z46" s="1016"/>
      <c r="AA46" s="1016"/>
      <c r="AB46" s="1016"/>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row>
    <row r="47" spans="2:49" x14ac:dyDescent="0.2">
      <c r="B47" s="1029"/>
      <c r="C47" s="1030"/>
      <c r="D47" s="1029"/>
      <c r="E47" s="1032"/>
      <c r="F47" s="1032"/>
      <c r="G47" s="1020"/>
      <c r="H47" s="1659"/>
      <c r="I47" s="1659"/>
      <c r="J47" s="1077" t="str">
        <f t="shared" si="0"/>
        <v/>
      </c>
      <c r="K47" s="1661"/>
      <c r="L47" s="1661"/>
      <c r="M47" s="1078" t="str">
        <f t="shared" si="1"/>
        <v/>
      </c>
      <c r="N47" s="1661"/>
      <c r="O47" s="1661"/>
      <c r="P47" s="1078" t="str">
        <f t="shared" si="2"/>
        <v/>
      </c>
      <c r="Q47" s="1659"/>
      <c r="R47" s="1659"/>
      <c r="S47" s="1078" t="str">
        <f t="shared" si="3"/>
        <v/>
      </c>
      <c r="T47" s="1661"/>
      <c r="U47" s="1661"/>
      <c r="V47" s="1078" t="str">
        <f t="shared" si="5"/>
        <v/>
      </c>
      <c r="W47" s="1016"/>
      <c r="X47" s="1016"/>
      <c r="Y47" s="1016"/>
      <c r="Z47" s="1016"/>
      <c r="AA47" s="1016"/>
      <c r="AB47" s="1016"/>
      <c r="AC47" s="1016"/>
      <c r="AD47" s="1016"/>
      <c r="AE47" s="1016"/>
      <c r="AF47" s="1016"/>
      <c r="AG47" s="1016"/>
      <c r="AH47" s="1016"/>
      <c r="AI47" s="1016"/>
      <c r="AJ47" s="1016"/>
      <c r="AK47" s="1016"/>
      <c r="AL47" s="1016"/>
      <c r="AM47" s="1016"/>
      <c r="AN47" s="1016"/>
      <c r="AO47" s="1016"/>
      <c r="AP47" s="1016"/>
      <c r="AQ47" s="1016"/>
      <c r="AR47" s="1016"/>
      <c r="AS47" s="1016"/>
      <c r="AT47" s="1016"/>
      <c r="AU47" s="1016"/>
      <c r="AV47" s="1016"/>
      <c r="AW47" s="1016"/>
    </row>
    <row r="48" spans="2:49" x14ac:dyDescent="0.2">
      <c r="B48" s="1029"/>
      <c r="C48" s="1030"/>
      <c r="D48" s="1029"/>
      <c r="E48" s="1032"/>
      <c r="F48" s="1032"/>
      <c r="G48" s="1020"/>
      <c r="H48" s="1659"/>
      <c r="I48" s="1659"/>
      <c r="J48" s="1077" t="str">
        <f t="shared" si="0"/>
        <v/>
      </c>
      <c r="K48" s="1661"/>
      <c r="L48" s="1661"/>
      <c r="M48" s="1078" t="str">
        <f t="shared" si="1"/>
        <v/>
      </c>
      <c r="N48" s="1661"/>
      <c r="O48" s="1661"/>
      <c r="P48" s="1078" t="str">
        <f t="shared" si="2"/>
        <v/>
      </c>
      <c r="Q48" s="1659"/>
      <c r="R48" s="1659"/>
      <c r="S48" s="1078" t="str">
        <f t="shared" si="3"/>
        <v/>
      </c>
      <c r="T48" s="1661"/>
      <c r="U48" s="1661"/>
      <c r="V48" s="1078" t="str">
        <f t="shared" si="5"/>
        <v/>
      </c>
      <c r="W48" s="1016"/>
      <c r="X48" s="1016"/>
      <c r="Y48" s="1016"/>
      <c r="Z48" s="1016"/>
      <c r="AA48" s="1016"/>
      <c r="AB48" s="1016"/>
      <c r="AC48" s="1016"/>
      <c r="AD48" s="1016"/>
      <c r="AE48" s="1016"/>
      <c r="AF48" s="1016"/>
      <c r="AG48" s="1016"/>
      <c r="AH48" s="1016"/>
      <c r="AI48" s="1016"/>
      <c r="AJ48" s="1016"/>
      <c r="AK48" s="1016"/>
      <c r="AL48" s="1016"/>
      <c r="AM48" s="1016"/>
      <c r="AN48" s="1016"/>
      <c r="AO48" s="1016"/>
      <c r="AP48" s="1016"/>
      <c r="AQ48" s="1016"/>
      <c r="AR48" s="1016"/>
      <c r="AS48" s="1016"/>
      <c r="AT48" s="1016"/>
      <c r="AU48" s="1016"/>
      <c r="AV48" s="1016"/>
      <c r="AW48" s="1016"/>
    </row>
    <row r="49" spans="2:49" x14ac:dyDescent="0.2">
      <c r="B49" s="1029"/>
      <c r="C49" s="1030"/>
      <c r="D49" s="1029"/>
      <c r="E49" s="1032"/>
      <c r="F49" s="1032"/>
      <c r="G49" s="1020"/>
      <c r="H49" s="1659"/>
      <c r="I49" s="1659"/>
      <c r="J49" s="1077" t="str">
        <f t="shared" si="0"/>
        <v/>
      </c>
      <c r="K49" s="1661"/>
      <c r="L49" s="1661"/>
      <c r="M49" s="1078" t="str">
        <f t="shared" si="1"/>
        <v/>
      </c>
      <c r="N49" s="1661"/>
      <c r="O49" s="1661"/>
      <c r="P49" s="1078" t="str">
        <f t="shared" si="2"/>
        <v/>
      </c>
      <c r="Q49" s="1659"/>
      <c r="R49" s="1659"/>
      <c r="S49" s="1078" t="str">
        <f t="shared" si="3"/>
        <v/>
      </c>
      <c r="T49" s="1661"/>
      <c r="U49" s="1661"/>
      <c r="V49" s="1078" t="str">
        <f t="shared" si="5"/>
        <v/>
      </c>
      <c r="W49" s="1016"/>
      <c r="X49" s="1016"/>
      <c r="Y49" s="1016"/>
      <c r="Z49" s="1016"/>
      <c r="AA49" s="1016"/>
      <c r="AB49" s="1016"/>
      <c r="AC49" s="1016"/>
      <c r="AD49" s="1016"/>
      <c r="AE49" s="1016"/>
      <c r="AF49" s="1016"/>
      <c r="AG49" s="1016"/>
      <c r="AH49" s="1016"/>
      <c r="AI49" s="1016"/>
      <c r="AJ49" s="1016"/>
      <c r="AK49" s="1016"/>
      <c r="AL49" s="1016"/>
      <c r="AM49" s="1016"/>
      <c r="AN49" s="1016"/>
      <c r="AO49" s="1016"/>
      <c r="AP49" s="1016"/>
      <c r="AQ49" s="1016"/>
      <c r="AR49" s="1016"/>
      <c r="AS49" s="1016"/>
      <c r="AT49" s="1016"/>
      <c r="AU49" s="1016"/>
      <c r="AV49" s="1016"/>
      <c r="AW49" s="1016"/>
    </row>
    <row r="50" spans="2:49" x14ac:dyDescent="0.2">
      <c r="B50" s="1029"/>
      <c r="C50" s="1030"/>
      <c r="D50" s="1029"/>
      <c r="E50" s="1032"/>
      <c r="F50" s="1032"/>
      <c r="G50" s="1020"/>
      <c r="H50" s="1659"/>
      <c r="I50" s="1659"/>
      <c r="J50" s="1077" t="str">
        <f t="shared" si="0"/>
        <v/>
      </c>
      <c r="K50" s="1661"/>
      <c r="L50" s="1661"/>
      <c r="M50" s="1078" t="str">
        <f t="shared" si="1"/>
        <v/>
      </c>
      <c r="N50" s="1661"/>
      <c r="O50" s="1661"/>
      <c r="P50" s="1078" t="str">
        <f t="shared" si="2"/>
        <v/>
      </c>
      <c r="Q50" s="1659"/>
      <c r="R50" s="1659"/>
      <c r="S50" s="1078" t="str">
        <f t="shared" si="3"/>
        <v/>
      </c>
      <c r="T50" s="1661"/>
      <c r="U50" s="1661"/>
      <c r="V50" s="1078" t="str">
        <f t="shared" si="5"/>
        <v/>
      </c>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1016"/>
      <c r="AS50" s="1016"/>
      <c r="AT50" s="1016"/>
      <c r="AU50" s="1016"/>
      <c r="AV50" s="1016"/>
      <c r="AW50" s="1016"/>
    </row>
    <row r="51" spans="2:49" x14ac:dyDescent="0.2">
      <c r="B51" s="1029"/>
      <c r="C51" s="1030"/>
      <c r="D51" s="1029"/>
      <c r="E51" s="1032"/>
      <c r="F51" s="1032"/>
      <c r="G51" s="1020"/>
      <c r="H51" s="1659"/>
      <c r="I51" s="1659"/>
      <c r="J51" s="1077" t="str">
        <f t="shared" si="0"/>
        <v/>
      </c>
      <c r="K51" s="1661"/>
      <c r="L51" s="1661"/>
      <c r="M51" s="1078" t="str">
        <f t="shared" si="1"/>
        <v/>
      </c>
      <c r="N51" s="1661"/>
      <c r="O51" s="1661"/>
      <c r="P51" s="1078" t="str">
        <f t="shared" si="2"/>
        <v/>
      </c>
      <c r="Q51" s="1659"/>
      <c r="R51" s="1659"/>
      <c r="S51" s="1078" t="str">
        <f t="shared" si="3"/>
        <v/>
      </c>
      <c r="T51" s="1661"/>
      <c r="U51" s="1661"/>
      <c r="V51" s="1078" t="str">
        <f t="shared" si="5"/>
        <v/>
      </c>
      <c r="W51" s="1016"/>
      <c r="X51" s="1016"/>
      <c r="Y51" s="1016"/>
      <c r="Z51" s="1016"/>
      <c r="AA51" s="1016"/>
      <c r="AB51" s="1016"/>
      <c r="AC51" s="1016"/>
      <c r="AD51" s="1016"/>
      <c r="AE51" s="1016"/>
      <c r="AF51" s="1016"/>
      <c r="AG51" s="1016"/>
      <c r="AH51" s="1016"/>
      <c r="AI51" s="1016"/>
      <c r="AJ51" s="1016"/>
      <c r="AK51" s="1016"/>
      <c r="AL51" s="1016"/>
      <c r="AM51" s="1016"/>
      <c r="AN51" s="1016"/>
      <c r="AO51" s="1016"/>
      <c r="AP51" s="1016"/>
      <c r="AQ51" s="1016"/>
      <c r="AR51" s="1016"/>
      <c r="AS51" s="1016"/>
      <c r="AT51" s="1016"/>
      <c r="AU51" s="1016"/>
      <c r="AV51" s="1016"/>
      <c r="AW51" s="1016"/>
    </row>
    <row r="52" spans="2:49" x14ac:dyDescent="0.2">
      <c r="B52" s="1029"/>
      <c r="C52" s="1030"/>
      <c r="D52" s="1029"/>
      <c r="E52" s="1032"/>
      <c r="F52" s="1032"/>
      <c r="G52" s="1020"/>
      <c r="H52" s="1659"/>
      <c r="I52" s="1659"/>
      <c r="J52" s="1077" t="str">
        <f t="shared" si="0"/>
        <v/>
      </c>
      <c r="K52" s="1661"/>
      <c r="L52" s="1661"/>
      <c r="M52" s="1078" t="str">
        <f t="shared" si="1"/>
        <v/>
      </c>
      <c r="N52" s="1661"/>
      <c r="O52" s="1661"/>
      <c r="P52" s="1078" t="str">
        <f t="shared" si="2"/>
        <v/>
      </c>
      <c r="Q52" s="1659"/>
      <c r="R52" s="1659"/>
      <c r="S52" s="1078" t="str">
        <f t="shared" si="3"/>
        <v/>
      </c>
      <c r="T52" s="1661"/>
      <c r="U52" s="1661"/>
      <c r="V52" s="1078" t="str">
        <f t="shared" si="5"/>
        <v/>
      </c>
      <c r="W52" s="1016"/>
      <c r="X52" s="1016"/>
      <c r="Y52" s="1016"/>
      <c r="Z52" s="1016"/>
      <c r="AA52" s="1016"/>
      <c r="AB52" s="1016"/>
      <c r="AC52" s="1016"/>
      <c r="AD52" s="1016"/>
      <c r="AE52" s="1016"/>
      <c r="AF52" s="1016"/>
      <c r="AG52" s="1016"/>
      <c r="AH52" s="1016"/>
      <c r="AI52" s="1016"/>
      <c r="AJ52" s="1016"/>
      <c r="AK52" s="1016"/>
      <c r="AL52" s="1016"/>
      <c r="AM52" s="1016"/>
      <c r="AN52" s="1016"/>
      <c r="AO52" s="1016"/>
      <c r="AP52" s="1016"/>
      <c r="AQ52" s="1016"/>
      <c r="AR52" s="1016"/>
      <c r="AS52" s="1016"/>
      <c r="AT52" s="1016"/>
      <c r="AU52" s="1016"/>
      <c r="AV52" s="1016"/>
      <c r="AW52" s="1016"/>
    </row>
    <row r="53" spans="2:49" x14ac:dyDescent="0.2">
      <c r="B53" s="1029"/>
      <c r="C53" s="1030"/>
      <c r="D53" s="1029"/>
      <c r="E53" s="1032"/>
      <c r="F53" s="1032"/>
      <c r="G53" s="1020"/>
      <c r="H53" s="1659"/>
      <c r="I53" s="1659"/>
      <c r="J53" s="1077" t="str">
        <f t="shared" si="0"/>
        <v/>
      </c>
      <c r="K53" s="1661"/>
      <c r="L53" s="1661"/>
      <c r="M53" s="1078" t="str">
        <f t="shared" si="1"/>
        <v/>
      </c>
      <c r="N53" s="1661"/>
      <c r="O53" s="1661"/>
      <c r="P53" s="1078" t="str">
        <f t="shared" si="2"/>
        <v/>
      </c>
      <c r="Q53" s="1659"/>
      <c r="R53" s="1659"/>
      <c r="S53" s="1078" t="str">
        <f t="shared" si="3"/>
        <v/>
      </c>
      <c r="T53" s="1661"/>
      <c r="U53" s="1661"/>
      <c r="V53" s="1078" t="str">
        <f t="shared" si="5"/>
        <v/>
      </c>
      <c r="W53" s="1016"/>
      <c r="X53" s="1016"/>
      <c r="Y53" s="1016"/>
      <c r="Z53" s="1016"/>
      <c r="AA53" s="1016"/>
      <c r="AB53" s="1016"/>
      <c r="AC53" s="1016"/>
      <c r="AD53" s="1016"/>
      <c r="AE53" s="1016"/>
      <c r="AF53" s="1016"/>
      <c r="AG53" s="1016"/>
      <c r="AH53" s="1016"/>
      <c r="AI53" s="1016"/>
      <c r="AJ53" s="1016"/>
      <c r="AK53" s="1016"/>
      <c r="AL53" s="1016"/>
      <c r="AM53" s="1016"/>
      <c r="AN53" s="1016"/>
      <c r="AO53" s="1016"/>
      <c r="AP53" s="1016"/>
      <c r="AQ53" s="1016"/>
      <c r="AR53" s="1016"/>
      <c r="AS53" s="1016"/>
      <c r="AT53" s="1016"/>
      <c r="AU53" s="1016"/>
      <c r="AV53" s="1016"/>
      <c r="AW53" s="1016"/>
    </row>
    <row r="54" spans="2:49" x14ac:dyDescent="0.2">
      <c r="B54" s="1029"/>
      <c r="C54" s="1030"/>
      <c r="D54" s="1029"/>
      <c r="E54" s="1032"/>
      <c r="F54" s="1032"/>
      <c r="G54" s="1020"/>
      <c r="H54" s="1659"/>
      <c r="I54" s="1659"/>
      <c r="J54" s="1077" t="str">
        <f t="shared" si="0"/>
        <v/>
      </c>
      <c r="K54" s="1661"/>
      <c r="L54" s="1661"/>
      <c r="M54" s="1078" t="str">
        <f t="shared" si="1"/>
        <v/>
      </c>
      <c r="N54" s="1661"/>
      <c r="O54" s="1661"/>
      <c r="P54" s="1078" t="str">
        <f t="shared" si="2"/>
        <v/>
      </c>
      <c r="Q54" s="1659"/>
      <c r="R54" s="1659"/>
      <c r="S54" s="1078" t="str">
        <f t="shared" si="3"/>
        <v/>
      </c>
      <c r="T54" s="1661"/>
      <c r="U54" s="1661"/>
      <c r="V54" s="1078" t="str">
        <f t="shared" si="5"/>
        <v/>
      </c>
      <c r="W54" s="1016"/>
      <c r="X54" s="1016"/>
      <c r="Y54" s="1016"/>
      <c r="Z54" s="1016"/>
      <c r="AA54" s="1016"/>
      <c r="AB54" s="1016"/>
      <c r="AC54" s="1016"/>
      <c r="AD54" s="1016"/>
      <c r="AE54" s="1016"/>
      <c r="AF54" s="1016"/>
      <c r="AG54" s="1016"/>
      <c r="AH54" s="1016"/>
      <c r="AI54" s="1016"/>
      <c r="AJ54" s="1016"/>
      <c r="AK54" s="1016"/>
      <c r="AL54" s="1016"/>
      <c r="AM54" s="1016"/>
      <c r="AN54" s="1016"/>
      <c r="AO54" s="1016"/>
      <c r="AP54" s="1016"/>
      <c r="AQ54" s="1016"/>
      <c r="AR54" s="1016"/>
      <c r="AS54" s="1016"/>
      <c r="AT54" s="1016"/>
      <c r="AU54" s="1016"/>
      <c r="AV54" s="1016"/>
      <c r="AW54" s="1016"/>
    </row>
    <row r="55" spans="2:49" x14ac:dyDescent="0.2">
      <c r="B55" s="1029"/>
      <c r="C55" s="1030"/>
      <c r="D55" s="1029"/>
      <c r="E55" s="1032"/>
      <c r="F55" s="1032"/>
      <c r="G55" s="1020"/>
      <c r="H55" s="1659"/>
      <c r="I55" s="1659"/>
      <c r="J55" s="1077" t="str">
        <f t="shared" si="0"/>
        <v/>
      </c>
      <c r="K55" s="1661"/>
      <c r="L55" s="1661"/>
      <c r="M55" s="1078" t="str">
        <f t="shared" si="1"/>
        <v/>
      </c>
      <c r="N55" s="1661"/>
      <c r="O55" s="1661"/>
      <c r="P55" s="1078" t="str">
        <f t="shared" si="2"/>
        <v/>
      </c>
      <c r="Q55" s="1659"/>
      <c r="R55" s="1659"/>
      <c r="S55" s="1078" t="str">
        <f t="shared" si="3"/>
        <v/>
      </c>
      <c r="T55" s="1661"/>
      <c r="U55" s="1661"/>
      <c r="V55" s="1078" t="str">
        <f t="shared" si="5"/>
        <v/>
      </c>
      <c r="W55" s="1016"/>
      <c r="X55" s="1016"/>
      <c r="Y55" s="1016"/>
      <c r="Z55" s="1016"/>
      <c r="AA55" s="1016"/>
      <c r="AB55" s="1016"/>
      <c r="AC55" s="1016"/>
      <c r="AD55" s="1016"/>
      <c r="AE55" s="1016"/>
      <c r="AF55" s="1016"/>
      <c r="AG55" s="1016"/>
      <c r="AH55" s="1016"/>
      <c r="AI55" s="1016"/>
      <c r="AJ55" s="1016"/>
      <c r="AK55" s="1016"/>
      <c r="AL55" s="1016"/>
      <c r="AM55" s="1016"/>
      <c r="AN55" s="1016"/>
      <c r="AO55" s="1016"/>
      <c r="AP55" s="1016"/>
      <c r="AQ55" s="1016"/>
      <c r="AR55" s="1016"/>
      <c r="AS55" s="1016"/>
      <c r="AT55" s="1016"/>
      <c r="AU55" s="1016"/>
      <c r="AV55" s="1016"/>
      <c r="AW55" s="1016"/>
    </row>
    <row r="56" spans="2:49" x14ac:dyDescent="0.2">
      <c r="B56" s="1029"/>
      <c r="C56" s="1030"/>
      <c r="D56" s="1029"/>
      <c r="E56" s="1032"/>
      <c r="F56" s="1032"/>
      <c r="G56" s="1020"/>
      <c r="H56" s="1659"/>
      <c r="I56" s="1659"/>
      <c r="J56" s="1077" t="str">
        <f t="shared" si="0"/>
        <v/>
      </c>
      <c r="K56" s="1661"/>
      <c r="L56" s="1661"/>
      <c r="M56" s="1078" t="str">
        <f t="shared" si="1"/>
        <v/>
      </c>
      <c r="N56" s="1661"/>
      <c r="O56" s="1661"/>
      <c r="P56" s="1078" t="str">
        <f t="shared" si="2"/>
        <v/>
      </c>
      <c r="Q56" s="1659"/>
      <c r="R56" s="1659"/>
      <c r="S56" s="1078" t="str">
        <f t="shared" si="3"/>
        <v/>
      </c>
      <c r="T56" s="1661"/>
      <c r="U56" s="1661"/>
      <c r="V56" s="1078" t="str">
        <f t="shared" si="5"/>
        <v/>
      </c>
      <c r="W56" s="1016"/>
      <c r="X56" s="1016"/>
      <c r="Y56" s="1016"/>
      <c r="Z56" s="1016"/>
      <c r="AA56" s="1016"/>
      <c r="AB56" s="1016"/>
      <c r="AC56" s="1016"/>
      <c r="AD56" s="1016"/>
      <c r="AE56" s="1016"/>
      <c r="AF56" s="1016"/>
      <c r="AG56" s="1016"/>
      <c r="AH56" s="1016"/>
      <c r="AI56" s="1016"/>
      <c r="AJ56" s="1016"/>
      <c r="AK56" s="1016"/>
      <c r="AL56" s="1016"/>
      <c r="AM56" s="1016"/>
      <c r="AN56" s="1016"/>
      <c r="AO56" s="1016"/>
      <c r="AP56" s="1016"/>
      <c r="AQ56" s="1016"/>
      <c r="AR56" s="1016"/>
      <c r="AS56" s="1016"/>
      <c r="AT56" s="1016"/>
      <c r="AU56" s="1016"/>
      <c r="AV56" s="1016"/>
      <c r="AW56" s="1016"/>
    </row>
    <row r="57" spans="2:49" x14ac:dyDescent="0.2">
      <c r="B57" s="1029"/>
      <c r="C57" s="1030"/>
      <c r="D57" s="1029"/>
      <c r="E57" s="1032"/>
      <c r="F57" s="1032"/>
      <c r="G57" s="1020"/>
      <c r="H57" s="1659"/>
      <c r="I57" s="1659"/>
      <c r="J57" s="1077" t="str">
        <f t="shared" si="0"/>
        <v/>
      </c>
      <c r="K57" s="1661"/>
      <c r="L57" s="1661"/>
      <c r="M57" s="1078" t="str">
        <f t="shared" si="1"/>
        <v/>
      </c>
      <c r="N57" s="1661"/>
      <c r="O57" s="1661"/>
      <c r="P57" s="1078" t="str">
        <f t="shared" si="2"/>
        <v/>
      </c>
      <c r="Q57" s="1659"/>
      <c r="R57" s="1659"/>
      <c r="S57" s="1078" t="str">
        <f t="shared" si="3"/>
        <v/>
      </c>
      <c r="T57" s="1661"/>
      <c r="U57" s="1661"/>
      <c r="V57" s="1078" t="str">
        <f t="shared" si="5"/>
        <v/>
      </c>
      <c r="W57" s="1016"/>
      <c r="X57" s="1016"/>
      <c r="Y57" s="1016"/>
      <c r="Z57" s="1016"/>
      <c r="AA57" s="1016"/>
      <c r="AB57" s="1016"/>
      <c r="AC57" s="1016"/>
      <c r="AD57" s="1016"/>
      <c r="AE57" s="1016"/>
      <c r="AF57" s="1016"/>
      <c r="AG57" s="1016"/>
      <c r="AH57" s="1016"/>
      <c r="AI57" s="1016"/>
      <c r="AJ57" s="1016"/>
      <c r="AK57" s="1016"/>
      <c r="AL57" s="1016"/>
      <c r="AM57" s="1016"/>
      <c r="AN57" s="1016"/>
      <c r="AO57" s="1016"/>
      <c r="AP57" s="1016"/>
      <c r="AQ57" s="1016"/>
      <c r="AR57" s="1016"/>
      <c r="AS57" s="1016"/>
      <c r="AT57" s="1016"/>
      <c r="AU57" s="1016"/>
      <c r="AV57" s="1016"/>
      <c r="AW57" s="1016"/>
    </row>
    <row r="58" spans="2:49" x14ac:dyDescent="0.2">
      <c r="B58" s="1029"/>
      <c r="C58" s="1030"/>
      <c r="D58" s="1029"/>
      <c r="E58" s="1032"/>
      <c r="F58" s="1032"/>
      <c r="G58" s="1020"/>
      <c r="H58" s="1659"/>
      <c r="I58" s="1659"/>
      <c r="J58" s="1077" t="str">
        <f t="shared" si="0"/>
        <v/>
      </c>
      <c r="K58" s="1661"/>
      <c r="L58" s="1661"/>
      <c r="M58" s="1078" t="str">
        <f t="shared" si="1"/>
        <v/>
      </c>
      <c r="N58" s="1661"/>
      <c r="O58" s="1661"/>
      <c r="P58" s="1078" t="str">
        <f t="shared" si="2"/>
        <v/>
      </c>
      <c r="Q58" s="1659"/>
      <c r="R58" s="1659"/>
      <c r="S58" s="1078" t="str">
        <f t="shared" si="3"/>
        <v/>
      </c>
      <c r="T58" s="1661"/>
      <c r="U58" s="1661"/>
      <c r="V58" s="1078" t="str">
        <f t="shared" si="5"/>
        <v/>
      </c>
      <c r="W58" s="1016"/>
      <c r="X58" s="1016"/>
      <c r="Y58" s="1016"/>
      <c r="Z58" s="1016"/>
      <c r="AA58" s="1016"/>
      <c r="AB58" s="1016"/>
      <c r="AC58" s="1016"/>
      <c r="AD58" s="1016"/>
      <c r="AE58" s="1016"/>
      <c r="AF58" s="1016"/>
      <c r="AG58" s="1016"/>
      <c r="AH58" s="1016"/>
      <c r="AI58" s="1016"/>
      <c r="AJ58" s="1016"/>
      <c r="AK58" s="1016"/>
      <c r="AL58" s="1016"/>
      <c r="AM58" s="1016"/>
      <c r="AN58" s="1016"/>
      <c r="AO58" s="1016"/>
      <c r="AP58" s="1016"/>
      <c r="AQ58" s="1016"/>
      <c r="AR58" s="1016"/>
      <c r="AS58" s="1016"/>
      <c r="AT58" s="1016"/>
      <c r="AU58" s="1016"/>
      <c r="AV58" s="1016"/>
      <c r="AW58" s="1016"/>
    </row>
    <row r="59" spans="2:49" x14ac:dyDescent="0.2">
      <c r="B59" s="1029"/>
      <c r="C59" s="1030"/>
      <c r="D59" s="1029"/>
      <c r="E59" s="1034"/>
      <c r="F59" s="1034"/>
      <c r="G59" s="1020"/>
      <c r="H59" s="1659"/>
      <c r="I59" s="1659"/>
      <c r="J59" s="1077" t="str">
        <f t="shared" si="0"/>
        <v/>
      </c>
      <c r="K59" s="1659"/>
      <c r="L59" s="1659"/>
      <c r="M59" s="1078" t="str">
        <f t="shared" si="1"/>
        <v/>
      </c>
      <c r="N59" s="1659"/>
      <c r="O59" s="1659"/>
      <c r="P59" s="1078" t="str">
        <f t="shared" si="2"/>
        <v/>
      </c>
      <c r="Q59" s="1659"/>
      <c r="R59" s="1659"/>
      <c r="S59" s="1078" t="str">
        <f t="shared" si="3"/>
        <v/>
      </c>
      <c r="T59" s="1661"/>
      <c r="U59" s="1659"/>
      <c r="V59" s="1078" t="str">
        <f t="shared" si="5"/>
        <v/>
      </c>
      <c r="W59" s="1016"/>
      <c r="X59" s="1016"/>
      <c r="Y59" s="1016"/>
      <c r="Z59" s="1016"/>
      <c r="AA59" s="1016"/>
      <c r="AB59" s="1016"/>
      <c r="AC59" s="1016"/>
      <c r="AD59" s="1016"/>
      <c r="AE59" s="1016"/>
      <c r="AF59" s="1016"/>
      <c r="AG59" s="1016"/>
      <c r="AH59" s="1016"/>
      <c r="AI59" s="1016"/>
      <c r="AJ59" s="1016"/>
      <c r="AK59" s="1016"/>
      <c r="AL59" s="1016"/>
      <c r="AM59" s="1016"/>
      <c r="AN59" s="1016"/>
      <c r="AO59" s="1016"/>
      <c r="AP59" s="1016"/>
      <c r="AQ59" s="1016"/>
      <c r="AR59" s="1016"/>
      <c r="AS59" s="1016"/>
      <c r="AT59" s="1016"/>
      <c r="AU59" s="1016"/>
      <c r="AV59" s="1016"/>
      <c r="AW59" s="1016"/>
    </row>
    <row r="60" spans="2:49" x14ac:dyDescent="0.2">
      <c r="B60" s="1029"/>
      <c r="C60" s="1030"/>
      <c r="D60" s="1029"/>
      <c r="E60" s="1034"/>
      <c r="F60" s="1034"/>
      <c r="G60" s="1020"/>
      <c r="H60" s="1659"/>
      <c r="I60" s="1659"/>
      <c r="J60" s="1077" t="str">
        <f t="shared" si="0"/>
        <v/>
      </c>
      <c r="K60" s="1659"/>
      <c r="L60" s="1659"/>
      <c r="M60" s="1078" t="str">
        <f t="shared" si="1"/>
        <v/>
      </c>
      <c r="N60" s="1659"/>
      <c r="O60" s="1659"/>
      <c r="P60" s="1078" t="str">
        <f t="shared" si="2"/>
        <v/>
      </c>
      <c r="Q60" s="1659"/>
      <c r="R60" s="1659"/>
      <c r="S60" s="1078" t="str">
        <f t="shared" si="3"/>
        <v/>
      </c>
      <c r="T60" s="1661"/>
      <c r="U60" s="1659"/>
      <c r="V60" s="1078" t="str">
        <f t="shared" si="5"/>
        <v/>
      </c>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016"/>
      <c r="AV60" s="1016"/>
      <c r="AW60" s="1016"/>
    </row>
    <row r="61" spans="2:49" x14ac:dyDescent="0.2">
      <c r="B61" s="1029"/>
      <c r="C61" s="1030"/>
      <c r="D61" s="1029"/>
      <c r="E61" s="1034"/>
      <c r="F61" s="1034"/>
      <c r="G61" s="1020"/>
      <c r="H61" s="1659"/>
      <c r="I61" s="1659"/>
      <c r="J61" s="1077" t="str">
        <f t="shared" si="0"/>
        <v/>
      </c>
      <c r="K61" s="1659"/>
      <c r="L61" s="1659"/>
      <c r="M61" s="1078" t="str">
        <f t="shared" si="1"/>
        <v/>
      </c>
      <c r="N61" s="1659"/>
      <c r="O61" s="1659"/>
      <c r="P61" s="1078" t="str">
        <f t="shared" si="2"/>
        <v/>
      </c>
      <c r="Q61" s="1659"/>
      <c r="R61" s="1659"/>
      <c r="S61" s="1078" t="str">
        <f t="shared" si="3"/>
        <v/>
      </c>
      <c r="T61" s="1661"/>
      <c r="U61" s="1659"/>
      <c r="V61" s="1078" t="str">
        <f t="shared" si="5"/>
        <v/>
      </c>
      <c r="W61" s="1016"/>
      <c r="X61" s="1016"/>
      <c r="Y61" s="1016"/>
      <c r="Z61" s="1016"/>
      <c r="AA61" s="1016"/>
      <c r="AB61" s="1016"/>
      <c r="AC61" s="1016"/>
      <c r="AD61" s="1016"/>
      <c r="AE61" s="1016"/>
      <c r="AF61" s="1016"/>
      <c r="AG61" s="1016"/>
      <c r="AH61" s="1016"/>
      <c r="AI61" s="1016"/>
      <c r="AJ61" s="1016"/>
      <c r="AK61" s="1016"/>
      <c r="AL61" s="1016"/>
      <c r="AM61" s="1016"/>
      <c r="AN61" s="1016"/>
      <c r="AO61" s="1016"/>
      <c r="AP61" s="1016"/>
      <c r="AQ61" s="1016"/>
      <c r="AR61" s="1016"/>
      <c r="AS61" s="1016"/>
      <c r="AT61" s="1016"/>
      <c r="AU61" s="1016"/>
      <c r="AV61" s="1016"/>
      <c r="AW61" s="1016"/>
    </row>
    <row r="62" spans="2:49" x14ac:dyDescent="0.2">
      <c r="B62" s="1029"/>
      <c r="C62" s="1030"/>
      <c r="D62" s="1029"/>
      <c r="E62" s="1034"/>
      <c r="F62" s="1034"/>
      <c r="G62" s="1020"/>
      <c r="H62" s="1659"/>
      <c r="I62" s="1659"/>
      <c r="J62" s="1077" t="str">
        <f t="shared" si="0"/>
        <v/>
      </c>
      <c r="K62" s="1659"/>
      <c r="L62" s="1659"/>
      <c r="M62" s="1078" t="str">
        <f t="shared" si="1"/>
        <v/>
      </c>
      <c r="N62" s="1659"/>
      <c r="O62" s="1659"/>
      <c r="P62" s="1078" t="str">
        <f t="shared" si="2"/>
        <v/>
      </c>
      <c r="Q62" s="1659"/>
      <c r="R62" s="1659"/>
      <c r="S62" s="1078" t="str">
        <f t="shared" si="3"/>
        <v/>
      </c>
      <c r="T62" s="1661"/>
      <c r="U62" s="1659"/>
      <c r="V62" s="1078" t="str">
        <f t="shared" si="5"/>
        <v/>
      </c>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016"/>
      <c r="AV62" s="1016"/>
      <c r="AW62" s="1016"/>
    </row>
    <row r="63" spans="2:49" x14ac:dyDescent="0.2">
      <c r="B63" s="1029"/>
      <c r="C63" s="1030"/>
      <c r="D63" s="1029"/>
      <c r="E63" s="1034"/>
      <c r="F63" s="1034"/>
      <c r="G63" s="1020"/>
      <c r="H63" s="1659"/>
      <c r="I63" s="1659"/>
      <c r="J63" s="1077" t="str">
        <f t="shared" si="0"/>
        <v/>
      </c>
      <c r="K63" s="1659"/>
      <c r="L63" s="1659"/>
      <c r="M63" s="1078" t="str">
        <f t="shared" si="1"/>
        <v/>
      </c>
      <c r="N63" s="1659"/>
      <c r="O63" s="1659"/>
      <c r="P63" s="1078" t="str">
        <f t="shared" si="2"/>
        <v/>
      </c>
      <c r="Q63" s="1659"/>
      <c r="R63" s="1659"/>
      <c r="S63" s="1078" t="str">
        <f t="shared" si="3"/>
        <v/>
      </c>
      <c r="T63" s="1661"/>
      <c r="U63" s="1659"/>
      <c r="V63" s="1078" t="str">
        <f t="shared" si="5"/>
        <v/>
      </c>
      <c r="W63" s="1016"/>
      <c r="X63" s="1016"/>
      <c r="Y63" s="1016"/>
      <c r="Z63" s="1016"/>
      <c r="AA63" s="1016"/>
      <c r="AB63" s="1016"/>
      <c r="AC63" s="1016"/>
      <c r="AD63" s="1016"/>
      <c r="AE63" s="1016"/>
      <c r="AF63" s="1016"/>
      <c r="AG63" s="1016"/>
      <c r="AH63" s="1016"/>
      <c r="AI63" s="1016"/>
      <c r="AJ63" s="1016"/>
      <c r="AK63" s="1016"/>
      <c r="AL63" s="1016"/>
      <c r="AM63" s="1016"/>
      <c r="AN63" s="1016"/>
      <c r="AO63" s="1016"/>
      <c r="AP63" s="1016"/>
      <c r="AQ63" s="1016"/>
      <c r="AR63" s="1016"/>
      <c r="AS63" s="1016"/>
      <c r="AT63" s="1016"/>
      <c r="AU63" s="1016"/>
      <c r="AV63" s="1016"/>
      <c r="AW63" s="1016"/>
    </row>
    <row r="64" spans="2:49" x14ac:dyDescent="0.2">
      <c r="B64" s="1029"/>
      <c r="C64" s="1030"/>
      <c r="D64" s="1029"/>
      <c r="E64" s="1034"/>
      <c r="F64" s="1034"/>
      <c r="G64" s="1020"/>
      <c r="H64" s="1659"/>
      <c r="I64" s="1659"/>
      <c r="J64" s="1077" t="str">
        <f t="shared" si="0"/>
        <v/>
      </c>
      <c r="K64" s="1659"/>
      <c r="L64" s="1659"/>
      <c r="M64" s="1078" t="str">
        <f t="shared" si="1"/>
        <v/>
      </c>
      <c r="N64" s="1659"/>
      <c r="O64" s="1659"/>
      <c r="P64" s="1078" t="str">
        <f t="shared" si="2"/>
        <v/>
      </c>
      <c r="Q64" s="1659"/>
      <c r="R64" s="1659"/>
      <c r="S64" s="1078" t="str">
        <f t="shared" si="3"/>
        <v/>
      </c>
      <c r="T64" s="1661"/>
      <c r="U64" s="1659"/>
      <c r="V64" s="1078" t="str">
        <f t="shared" si="5"/>
        <v/>
      </c>
      <c r="W64" s="1016"/>
      <c r="X64" s="1016"/>
      <c r="Y64" s="1016"/>
      <c r="Z64" s="1016"/>
      <c r="AA64" s="1016"/>
      <c r="AB64" s="1016"/>
      <c r="AC64" s="1016"/>
      <c r="AD64" s="1016"/>
      <c r="AE64" s="1016"/>
      <c r="AF64" s="1016"/>
      <c r="AG64" s="1016"/>
      <c r="AH64" s="1016"/>
      <c r="AI64" s="1016"/>
      <c r="AJ64" s="1016"/>
      <c r="AK64" s="1016"/>
      <c r="AL64" s="1016"/>
      <c r="AM64" s="1016"/>
      <c r="AN64" s="1016"/>
      <c r="AO64" s="1016"/>
      <c r="AP64" s="1016"/>
      <c r="AQ64" s="1016"/>
      <c r="AR64" s="1016"/>
      <c r="AS64" s="1016"/>
      <c r="AT64" s="1016"/>
      <c r="AU64" s="1016"/>
      <c r="AV64" s="1016"/>
      <c r="AW64" s="1016"/>
    </row>
    <row r="65" spans="2:49" x14ac:dyDescent="0.2">
      <c r="B65" s="1029"/>
      <c r="C65" s="1030"/>
      <c r="D65" s="1029"/>
      <c r="E65" s="1034"/>
      <c r="F65" s="1034"/>
      <c r="G65" s="1020"/>
      <c r="H65" s="1659"/>
      <c r="I65" s="1659"/>
      <c r="J65" s="1077" t="str">
        <f t="shared" si="0"/>
        <v/>
      </c>
      <c r="K65" s="1659"/>
      <c r="L65" s="1659"/>
      <c r="M65" s="1078" t="str">
        <f t="shared" si="1"/>
        <v/>
      </c>
      <c r="N65" s="1659"/>
      <c r="O65" s="1659"/>
      <c r="P65" s="1078" t="str">
        <f t="shared" si="2"/>
        <v/>
      </c>
      <c r="Q65" s="1659"/>
      <c r="R65" s="1659"/>
      <c r="S65" s="1078" t="str">
        <f t="shared" si="3"/>
        <v/>
      </c>
      <c r="T65" s="1661"/>
      <c r="U65" s="1659"/>
      <c r="V65" s="1078" t="str">
        <f t="shared" si="5"/>
        <v/>
      </c>
      <c r="W65" s="1016"/>
      <c r="X65" s="1016"/>
      <c r="Y65" s="1016"/>
      <c r="Z65" s="1016"/>
      <c r="AA65" s="1016"/>
      <c r="AB65" s="1016"/>
      <c r="AC65" s="1016"/>
      <c r="AD65" s="1016"/>
      <c r="AE65" s="1016"/>
      <c r="AF65" s="1016"/>
      <c r="AG65" s="1016"/>
      <c r="AH65" s="1016"/>
      <c r="AI65" s="1016"/>
      <c r="AJ65" s="1016"/>
      <c r="AK65" s="1016"/>
      <c r="AL65" s="1016"/>
      <c r="AM65" s="1016"/>
      <c r="AN65" s="1016"/>
      <c r="AO65" s="1016"/>
      <c r="AP65" s="1016"/>
      <c r="AQ65" s="1016"/>
      <c r="AR65" s="1016"/>
      <c r="AS65" s="1016"/>
      <c r="AT65" s="1016"/>
      <c r="AU65" s="1016"/>
      <c r="AV65" s="1016"/>
      <c r="AW65" s="1016"/>
    </row>
    <row r="66" spans="2:49" x14ac:dyDescent="0.2">
      <c r="B66" s="1029"/>
      <c r="C66" s="1030"/>
      <c r="D66" s="1029"/>
      <c r="E66" s="1034"/>
      <c r="F66" s="1034"/>
      <c r="G66" s="1020"/>
      <c r="H66" s="1659"/>
      <c r="I66" s="1659"/>
      <c r="J66" s="1077" t="str">
        <f t="shared" si="0"/>
        <v/>
      </c>
      <c r="K66" s="1659"/>
      <c r="L66" s="1659"/>
      <c r="M66" s="1078" t="str">
        <f t="shared" si="1"/>
        <v/>
      </c>
      <c r="N66" s="1659"/>
      <c r="O66" s="1659"/>
      <c r="P66" s="1078" t="str">
        <f t="shared" si="2"/>
        <v/>
      </c>
      <c r="Q66" s="1659"/>
      <c r="R66" s="1659"/>
      <c r="S66" s="1078" t="str">
        <f t="shared" si="3"/>
        <v/>
      </c>
      <c r="T66" s="1661"/>
      <c r="U66" s="1659"/>
      <c r="V66" s="1078" t="str">
        <f t="shared" si="5"/>
        <v/>
      </c>
      <c r="W66" s="1016"/>
      <c r="X66" s="1016"/>
      <c r="Y66" s="1016"/>
      <c r="Z66" s="1016"/>
      <c r="AA66" s="1016"/>
      <c r="AB66" s="1016"/>
      <c r="AC66" s="1016"/>
      <c r="AD66" s="1016"/>
      <c r="AE66" s="1016"/>
      <c r="AF66" s="1016"/>
      <c r="AG66" s="1016"/>
      <c r="AH66" s="1016"/>
      <c r="AI66" s="1016"/>
      <c r="AJ66" s="1016"/>
      <c r="AK66" s="1016"/>
      <c r="AL66" s="1016"/>
      <c r="AM66" s="1016"/>
      <c r="AN66" s="1016"/>
      <c r="AO66" s="1016"/>
      <c r="AP66" s="1016"/>
      <c r="AQ66" s="1016"/>
      <c r="AR66" s="1016"/>
      <c r="AS66" s="1016"/>
      <c r="AT66" s="1016"/>
      <c r="AU66" s="1016"/>
      <c r="AV66" s="1016"/>
      <c r="AW66" s="1016"/>
    </row>
    <row r="67" spans="2:49" x14ac:dyDescent="0.2">
      <c r="B67" s="1029"/>
      <c r="C67" s="1030"/>
      <c r="D67" s="1029"/>
      <c r="E67" s="1032"/>
      <c r="F67" s="1032"/>
      <c r="G67" s="1020"/>
      <c r="H67" s="1659"/>
      <c r="I67" s="1659"/>
      <c r="J67" s="1077" t="str">
        <f t="shared" si="0"/>
        <v/>
      </c>
      <c r="K67" s="1659"/>
      <c r="L67" s="1659"/>
      <c r="M67" s="1078" t="str">
        <f t="shared" si="1"/>
        <v/>
      </c>
      <c r="N67" s="1659"/>
      <c r="O67" s="1659"/>
      <c r="P67" s="1078" t="str">
        <f t="shared" si="2"/>
        <v/>
      </c>
      <c r="Q67" s="1659"/>
      <c r="R67" s="1659"/>
      <c r="S67" s="1078" t="str">
        <f t="shared" si="3"/>
        <v/>
      </c>
      <c r="T67" s="1661"/>
      <c r="U67" s="1659"/>
      <c r="V67" s="1078" t="str">
        <f t="shared" si="5"/>
        <v/>
      </c>
      <c r="W67" s="1016"/>
      <c r="X67" s="1016"/>
      <c r="Y67" s="1016"/>
      <c r="Z67" s="1016"/>
      <c r="AA67" s="1016"/>
      <c r="AB67" s="1016"/>
      <c r="AC67" s="1016"/>
      <c r="AD67" s="1016"/>
      <c r="AE67" s="1016"/>
      <c r="AF67" s="1016"/>
      <c r="AG67" s="1016"/>
      <c r="AH67" s="1016"/>
      <c r="AI67" s="1016"/>
      <c r="AJ67" s="1016"/>
      <c r="AK67" s="1016"/>
      <c r="AL67" s="1016"/>
      <c r="AM67" s="1016"/>
      <c r="AN67" s="1016"/>
      <c r="AO67" s="1016"/>
      <c r="AP67" s="1016"/>
      <c r="AQ67" s="1016"/>
      <c r="AR67" s="1016"/>
      <c r="AS67" s="1016"/>
      <c r="AT67" s="1016"/>
      <c r="AU67" s="1016"/>
      <c r="AV67" s="1016"/>
      <c r="AW67" s="1016"/>
    </row>
    <row r="68" spans="2:49" x14ac:dyDescent="0.2">
      <c r="B68" s="1029"/>
      <c r="C68" s="1030"/>
      <c r="D68" s="1029"/>
      <c r="E68" s="1032"/>
      <c r="F68" s="1032"/>
      <c r="G68" s="1020"/>
      <c r="H68" s="1659"/>
      <c r="I68" s="1659"/>
      <c r="J68" s="1077" t="str">
        <f t="shared" si="0"/>
        <v/>
      </c>
      <c r="K68" s="1659"/>
      <c r="L68" s="1659"/>
      <c r="M68" s="1078" t="str">
        <f t="shared" si="1"/>
        <v/>
      </c>
      <c r="N68" s="1659"/>
      <c r="O68" s="1659"/>
      <c r="P68" s="1078" t="str">
        <f t="shared" si="2"/>
        <v/>
      </c>
      <c r="Q68" s="1659"/>
      <c r="R68" s="1659"/>
      <c r="S68" s="1078" t="str">
        <f t="shared" si="3"/>
        <v/>
      </c>
      <c r="T68" s="1661"/>
      <c r="U68" s="1659"/>
      <c r="V68" s="1078" t="str">
        <f t="shared" si="5"/>
        <v/>
      </c>
      <c r="W68" s="1016"/>
      <c r="X68" s="1016"/>
      <c r="Y68" s="1016"/>
      <c r="Z68" s="1016"/>
      <c r="AA68" s="1016"/>
      <c r="AB68" s="1016"/>
      <c r="AC68" s="1016"/>
      <c r="AD68" s="1016"/>
      <c r="AE68" s="1016"/>
      <c r="AF68" s="1016"/>
      <c r="AG68" s="1016"/>
      <c r="AH68" s="1016"/>
      <c r="AI68" s="1016"/>
      <c r="AJ68" s="1016"/>
      <c r="AK68" s="1016"/>
      <c r="AL68" s="1016"/>
      <c r="AM68" s="1016"/>
      <c r="AN68" s="1016"/>
      <c r="AO68" s="1016"/>
      <c r="AP68" s="1016"/>
      <c r="AQ68" s="1016"/>
      <c r="AR68" s="1016"/>
      <c r="AS68" s="1016"/>
      <c r="AT68" s="1016"/>
      <c r="AU68" s="1016"/>
      <c r="AV68" s="1016"/>
      <c r="AW68" s="1016"/>
    </row>
    <row r="69" spans="2:49" x14ac:dyDescent="0.2">
      <c r="B69" s="1029"/>
      <c r="C69" s="1030"/>
      <c r="D69" s="1029"/>
      <c r="E69" s="1032"/>
      <c r="F69" s="1032"/>
      <c r="G69" s="1020"/>
      <c r="H69" s="1659"/>
      <c r="I69" s="1659"/>
      <c r="J69" s="1077" t="str">
        <f t="shared" si="0"/>
        <v/>
      </c>
      <c r="K69" s="1659"/>
      <c r="L69" s="1659"/>
      <c r="M69" s="1078" t="str">
        <f t="shared" si="1"/>
        <v/>
      </c>
      <c r="N69" s="1659"/>
      <c r="O69" s="1659"/>
      <c r="P69" s="1078" t="str">
        <f t="shared" si="2"/>
        <v/>
      </c>
      <c r="Q69" s="1659"/>
      <c r="R69" s="1659"/>
      <c r="S69" s="1078" t="str">
        <f t="shared" si="3"/>
        <v/>
      </c>
      <c r="T69" s="1661"/>
      <c r="U69" s="1659"/>
      <c r="V69" s="1078" t="str">
        <f t="shared" si="5"/>
        <v/>
      </c>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row>
    <row r="70" spans="2:49" x14ac:dyDescent="0.2">
      <c r="B70" s="1029"/>
      <c r="C70" s="1030"/>
      <c r="D70" s="1029"/>
      <c r="E70" s="1032"/>
      <c r="F70" s="1032"/>
      <c r="G70" s="1020"/>
      <c r="H70" s="1659"/>
      <c r="I70" s="1659"/>
      <c r="J70" s="1077" t="str">
        <f t="shared" si="0"/>
        <v/>
      </c>
      <c r="K70" s="1659"/>
      <c r="L70" s="1659"/>
      <c r="M70" s="1078" t="str">
        <f t="shared" si="1"/>
        <v/>
      </c>
      <c r="N70" s="1659"/>
      <c r="O70" s="1659"/>
      <c r="P70" s="1078" t="str">
        <f t="shared" si="2"/>
        <v/>
      </c>
      <c r="Q70" s="1659"/>
      <c r="R70" s="1659"/>
      <c r="S70" s="1078" t="str">
        <f t="shared" si="3"/>
        <v/>
      </c>
      <c r="T70" s="1661"/>
      <c r="U70" s="1659"/>
      <c r="V70" s="1078" t="str">
        <f t="shared" si="5"/>
        <v/>
      </c>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c r="AS70" s="1016"/>
      <c r="AT70" s="1016"/>
      <c r="AU70" s="1016"/>
      <c r="AV70" s="1016"/>
      <c r="AW70" s="1016"/>
    </row>
    <row r="71" spans="2:49" x14ac:dyDescent="0.2">
      <c r="B71" s="1029"/>
      <c r="C71" s="1030"/>
      <c r="D71" s="1029"/>
      <c r="E71" s="1032"/>
      <c r="F71" s="1032"/>
      <c r="G71" s="1020"/>
      <c r="H71" s="1659"/>
      <c r="I71" s="1659"/>
      <c r="J71" s="1077" t="str">
        <f t="shared" si="0"/>
        <v/>
      </c>
      <c r="K71" s="1659"/>
      <c r="L71" s="1659"/>
      <c r="M71" s="1078" t="str">
        <f t="shared" si="1"/>
        <v/>
      </c>
      <c r="N71" s="1659"/>
      <c r="O71" s="1659"/>
      <c r="P71" s="1078" t="str">
        <f t="shared" si="2"/>
        <v/>
      </c>
      <c r="Q71" s="1659"/>
      <c r="R71" s="1659"/>
      <c r="S71" s="1078" t="str">
        <f t="shared" si="3"/>
        <v/>
      </c>
      <c r="T71" s="1661"/>
      <c r="U71" s="1659"/>
      <c r="V71" s="1078" t="str">
        <f t="shared" si="5"/>
        <v/>
      </c>
      <c r="W71" s="1016"/>
      <c r="X71" s="1016"/>
      <c r="Y71" s="1016"/>
      <c r="Z71" s="1016"/>
      <c r="AA71" s="1016"/>
      <c r="AB71" s="1016"/>
      <c r="AC71" s="1016"/>
      <c r="AD71" s="1016"/>
      <c r="AE71" s="1016"/>
      <c r="AF71" s="1016"/>
      <c r="AG71" s="1016"/>
      <c r="AH71" s="1016"/>
      <c r="AI71" s="1016"/>
      <c r="AJ71" s="1016"/>
      <c r="AK71" s="1016"/>
      <c r="AL71" s="1016"/>
      <c r="AM71" s="1016"/>
      <c r="AN71" s="1016"/>
      <c r="AO71" s="1016"/>
      <c r="AP71" s="1016"/>
      <c r="AQ71" s="1016"/>
      <c r="AR71" s="1016"/>
      <c r="AS71" s="1016"/>
      <c r="AT71" s="1016"/>
      <c r="AU71" s="1016"/>
      <c r="AV71" s="1016"/>
      <c r="AW71" s="1016"/>
    </row>
    <row r="72" spans="2:49" x14ac:dyDescent="0.2">
      <c r="B72" s="1029"/>
      <c r="C72" s="1030"/>
      <c r="D72" s="1029"/>
      <c r="E72" s="1032"/>
      <c r="F72" s="1032"/>
      <c r="G72" s="1020"/>
      <c r="H72" s="1659"/>
      <c r="I72" s="1659"/>
      <c r="J72" s="1077" t="str">
        <f t="shared" si="0"/>
        <v/>
      </c>
      <c r="K72" s="1659"/>
      <c r="L72" s="1659"/>
      <c r="M72" s="1078" t="str">
        <f t="shared" si="1"/>
        <v/>
      </c>
      <c r="N72" s="1659"/>
      <c r="O72" s="1659"/>
      <c r="P72" s="1078" t="str">
        <f t="shared" si="2"/>
        <v/>
      </c>
      <c r="Q72" s="1659"/>
      <c r="R72" s="1659"/>
      <c r="S72" s="1078" t="str">
        <f t="shared" si="3"/>
        <v/>
      </c>
      <c r="T72" s="1661"/>
      <c r="U72" s="1659"/>
      <c r="V72" s="1078" t="str">
        <f t="shared" si="5"/>
        <v/>
      </c>
      <c r="W72" s="1016"/>
      <c r="X72" s="1016"/>
      <c r="Y72" s="1016"/>
      <c r="Z72" s="1016"/>
      <c r="AA72" s="1016"/>
      <c r="AB72" s="1016"/>
      <c r="AC72" s="1016"/>
      <c r="AD72" s="1016"/>
      <c r="AE72" s="1016"/>
      <c r="AF72" s="1016"/>
      <c r="AG72" s="1016"/>
      <c r="AH72" s="1016"/>
      <c r="AI72" s="1016"/>
      <c r="AJ72" s="1016"/>
      <c r="AK72" s="1016"/>
      <c r="AL72" s="1016"/>
      <c r="AM72" s="1016"/>
      <c r="AN72" s="1016"/>
      <c r="AO72" s="1016"/>
      <c r="AP72" s="1016"/>
      <c r="AQ72" s="1016"/>
      <c r="AR72" s="1016"/>
      <c r="AS72" s="1016"/>
      <c r="AT72" s="1016"/>
      <c r="AU72" s="1016"/>
      <c r="AV72" s="1016"/>
      <c r="AW72" s="1016"/>
    </row>
    <row r="73" spans="2:49" x14ac:dyDescent="0.2">
      <c r="B73" s="1029"/>
      <c r="C73" s="1030"/>
      <c r="D73" s="1029"/>
      <c r="E73" s="1032"/>
      <c r="F73" s="1032"/>
      <c r="G73" s="1020"/>
      <c r="H73" s="1659"/>
      <c r="I73" s="1659"/>
      <c r="J73" s="1077" t="str">
        <f t="shared" si="0"/>
        <v/>
      </c>
      <c r="K73" s="1659"/>
      <c r="L73" s="1659"/>
      <c r="M73" s="1078" t="str">
        <f t="shared" si="1"/>
        <v/>
      </c>
      <c r="N73" s="1659"/>
      <c r="O73" s="1659"/>
      <c r="P73" s="1078" t="str">
        <f t="shared" si="2"/>
        <v/>
      </c>
      <c r="Q73" s="1659"/>
      <c r="R73" s="1659"/>
      <c r="S73" s="1078" t="str">
        <f t="shared" si="3"/>
        <v/>
      </c>
      <c r="T73" s="1661"/>
      <c r="U73" s="1659"/>
      <c r="V73" s="1078" t="str">
        <f t="shared" si="5"/>
        <v/>
      </c>
      <c r="W73" s="1016"/>
      <c r="X73" s="1016"/>
      <c r="Y73" s="1016"/>
      <c r="Z73" s="1016"/>
      <c r="AA73" s="1016"/>
      <c r="AB73" s="1016"/>
      <c r="AC73" s="1016"/>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row>
    <row r="74" spans="2:49" x14ac:dyDescent="0.2">
      <c r="B74" s="1029"/>
      <c r="C74" s="1030"/>
      <c r="D74" s="1029"/>
      <c r="E74" s="1032"/>
      <c r="F74" s="1032"/>
      <c r="G74" s="1020"/>
      <c r="H74" s="1659"/>
      <c r="I74" s="1659"/>
      <c r="J74" s="1077" t="str">
        <f t="shared" si="0"/>
        <v/>
      </c>
      <c r="K74" s="1659"/>
      <c r="L74" s="1659"/>
      <c r="M74" s="1078" t="str">
        <f t="shared" si="1"/>
        <v/>
      </c>
      <c r="N74" s="1659"/>
      <c r="O74" s="1659"/>
      <c r="P74" s="1078" t="str">
        <f t="shared" si="2"/>
        <v/>
      </c>
      <c r="Q74" s="1659"/>
      <c r="R74" s="1659"/>
      <c r="S74" s="1078" t="str">
        <f t="shared" si="3"/>
        <v/>
      </c>
      <c r="T74" s="1661"/>
      <c r="U74" s="1659"/>
      <c r="V74" s="1078" t="str">
        <f t="shared" si="5"/>
        <v/>
      </c>
      <c r="W74" s="1016"/>
      <c r="X74" s="1016"/>
      <c r="Y74" s="1016"/>
      <c r="Z74" s="1016"/>
      <c r="AA74" s="1016"/>
      <c r="AB74" s="1016"/>
      <c r="AC74" s="1016"/>
      <c r="AD74" s="1016"/>
      <c r="AE74" s="1016"/>
      <c r="AF74" s="1016"/>
      <c r="AG74" s="1016"/>
      <c r="AH74" s="1016"/>
      <c r="AI74" s="1016"/>
      <c r="AJ74" s="1016"/>
      <c r="AK74" s="1016"/>
      <c r="AL74" s="1016"/>
      <c r="AM74" s="1016"/>
      <c r="AN74" s="1016"/>
      <c r="AO74" s="1016"/>
      <c r="AP74" s="1016"/>
      <c r="AQ74" s="1016"/>
      <c r="AR74" s="1016"/>
      <c r="AS74" s="1016"/>
      <c r="AT74" s="1016"/>
      <c r="AU74" s="1016"/>
      <c r="AV74" s="1016"/>
      <c r="AW74" s="1016"/>
    </row>
    <row r="75" spans="2:49" x14ac:dyDescent="0.2">
      <c r="B75" s="1029"/>
      <c r="C75" s="1030"/>
      <c r="D75" s="1029"/>
      <c r="E75" s="1032"/>
      <c r="F75" s="1032"/>
      <c r="G75" s="1020"/>
      <c r="H75" s="1659"/>
      <c r="I75" s="1659"/>
      <c r="J75" s="1077" t="str">
        <f t="shared" si="0"/>
        <v/>
      </c>
      <c r="K75" s="1659"/>
      <c r="L75" s="1659"/>
      <c r="M75" s="1078" t="str">
        <f t="shared" si="1"/>
        <v/>
      </c>
      <c r="N75" s="1659"/>
      <c r="O75" s="1659"/>
      <c r="P75" s="1078" t="str">
        <f t="shared" si="2"/>
        <v/>
      </c>
      <c r="Q75" s="1659"/>
      <c r="R75" s="1659"/>
      <c r="S75" s="1078" t="str">
        <f t="shared" si="3"/>
        <v/>
      </c>
      <c r="T75" s="1661"/>
      <c r="U75" s="1659"/>
      <c r="V75" s="1078" t="str">
        <f t="shared" si="5"/>
        <v/>
      </c>
      <c r="W75" s="1016"/>
      <c r="X75" s="1016"/>
      <c r="Y75" s="1016"/>
      <c r="Z75" s="1016"/>
      <c r="AA75" s="1016"/>
      <c r="AB75" s="1016"/>
      <c r="AC75" s="1016"/>
      <c r="AD75" s="1016"/>
      <c r="AE75" s="1016"/>
      <c r="AF75" s="1016"/>
      <c r="AG75" s="1016"/>
      <c r="AH75" s="1016"/>
      <c r="AI75" s="1016"/>
      <c r="AJ75" s="1016"/>
      <c r="AK75" s="1016"/>
      <c r="AL75" s="1016"/>
      <c r="AM75" s="1016"/>
      <c r="AN75" s="1016"/>
      <c r="AO75" s="1016"/>
      <c r="AP75" s="1016"/>
      <c r="AQ75" s="1016"/>
      <c r="AR75" s="1016"/>
      <c r="AS75" s="1016"/>
      <c r="AT75" s="1016"/>
      <c r="AU75" s="1016"/>
      <c r="AV75" s="1016"/>
      <c r="AW75" s="1016"/>
    </row>
    <row r="76" spans="2:49" x14ac:dyDescent="0.2">
      <c r="B76" s="1029"/>
      <c r="C76" s="1030"/>
      <c r="D76" s="1029"/>
      <c r="E76" s="1032"/>
      <c r="F76" s="1032"/>
      <c r="G76" s="1020"/>
      <c r="H76" s="1659"/>
      <c r="I76" s="1659"/>
      <c r="J76" s="1077" t="str">
        <f t="shared" si="0"/>
        <v/>
      </c>
      <c r="K76" s="1659"/>
      <c r="L76" s="1659"/>
      <c r="M76" s="1078" t="str">
        <f t="shared" si="1"/>
        <v/>
      </c>
      <c r="N76" s="1659"/>
      <c r="O76" s="1659"/>
      <c r="P76" s="1078" t="str">
        <f t="shared" si="2"/>
        <v/>
      </c>
      <c r="Q76" s="1659"/>
      <c r="R76" s="1659"/>
      <c r="S76" s="1078" t="str">
        <f t="shared" si="3"/>
        <v/>
      </c>
      <c r="T76" s="1661"/>
      <c r="U76" s="1659"/>
      <c r="V76" s="1078" t="str">
        <f t="shared" si="5"/>
        <v/>
      </c>
      <c r="W76" s="1016"/>
      <c r="X76" s="1016"/>
      <c r="Y76" s="1016"/>
      <c r="Z76" s="1016"/>
      <c r="AA76" s="1016"/>
      <c r="AB76" s="1016"/>
      <c r="AC76" s="1016"/>
      <c r="AD76" s="1016"/>
      <c r="AE76" s="1016"/>
      <c r="AF76" s="1016"/>
      <c r="AG76" s="1016"/>
      <c r="AH76" s="1016"/>
      <c r="AI76" s="1016"/>
      <c r="AJ76" s="1016"/>
      <c r="AK76" s="1016"/>
      <c r="AL76" s="1016"/>
      <c r="AM76" s="1016"/>
      <c r="AN76" s="1016"/>
      <c r="AO76" s="1016"/>
      <c r="AP76" s="1016"/>
      <c r="AQ76" s="1016"/>
      <c r="AR76" s="1016"/>
      <c r="AS76" s="1016"/>
      <c r="AT76" s="1016"/>
      <c r="AU76" s="1016"/>
      <c r="AV76" s="1016"/>
      <c r="AW76" s="1016"/>
    </row>
    <row r="77" spans="2:49" x14ac:dyDescent="0.2">
      <c r="B77" s="1029"/>
      <c r="C77" s="1030"/>
      <c r="D77" s="1029"/>
      <c r="E77" s="1032"/>
      <c r="F77" s="1032"/>
      <c r="G77" s="1020"/>
      <c r="H77" s="1659"/>
      <c r="I77" s="1659"/>
      <c r="J77" s="1077" t="str">
        <f t="shared" si="0"/>
        <v/>
      </c>
      <c r="K77" s="1659"/>
      <c r="L77" s="1659"/>
      <c r="M77" s="1078" t="str">
        <f t="shared" si="1"/>
        <v/>
      </c>
      <c r="N77" s="1659"/>
      <c r="O77" s="1659"/>
      <c r="P77" s="1078" t="str">
        <f t="shared" si="2"/>
        <v/>
      </c>
      <c r="Q77" s="1659"/>
      <c r="R77" s="1659"/>
      <c r="S77" s="1078" t="str">
        <f t="shared" si="3"/>
        <v/>
      </c>
      <c r="T77" s="1661"/>
      <c r="U77" s="1659"/>
      <c r="V77" s="1078" t="str">
        <f t="shared" si="5"/>
        <v/>
      </c>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row>
    <row r="78" spans="2:49" x14ac:dyDescent="0.2">
      <c r="B78" s="1029"/>
      <c r="C78" s="1030"/>
      <c r="D78" s="1029"/>
      <c r="E78" s="1032"/>
      <c r="F78" s="1032"/>
      <c r="G78" s="1020"/>
      <c r="H78" s="1659"/>
      <c r="I78" s="1659"/>
      <c r="J78" s="1077" t="str">
        <f t="shared" si="0"/>
        <v/>
      </c>
      <c r="K78" s="1659"/>
      <c r="L78" s="1659"/>
      <c r="M78" s="1078" t="str">
        <f t="shared" si="1"/>
        <v/>
      </c>
      <c r="N78" s="1659"/>
      <c r="O78" s="1659"/>
      <c r="P78" s="1078" t="str">
        <f t="shared" si="2"/>
        <v/>
      </c>
      <c r="Q78" s="1659"/>
      <c r="R78" s="1659"/>
      <c r="S78" s="1078" t="str">
        <f t="shared" si="3"/>
        <v/>
      </c>
      <c r="T78" s="1661"/>
      <c r="U78" s="1659"/>
      <c r="V78" s="1078" t="str">
        <f t="shared" si="5"/>
        <v/>
      </c>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row>
    <row r="79" spans="2:49" x14ac:dyDescent="0.2">
      <c r="B79" s="1029"/>
      <c r="C79" s="1030"/>
      <c r="D79" s="1029"/>
      <c r="E79" s="1032"/>
      <c r="F79" s="1032"/>
      <c r="G79" s="1020"/>
      <c r="H79" s="1659"/>
      <c r="I79" s="1659"/>
      <c r="J79" s="1077" t="str">
        <f t="shared" si="0"/>
        <v/>
      </c>
      <c r="K79" s="1659"/>
      <c r="L79" s="1659"/>
      <c r="M79" s="1078" t="str">
        <f t="shared" si="1"/>
        <v/>
      </c>
      <c r="N79" s="1659"/>
      <c r="O79" s="1659"/>
      <c r="P79" s="1078" t="str">
        <f t="shared" si="2"/>
        <v/>
      </c>
      <c r="Q79" s="1659"/>
      <c r="R79" s="1659"/>
      <c r="S79" s="1078" t="str">
        <f t="shared" si="3"/>
        <v/>
      </c>
      <c r="T79" s="1661"/>
      <c r="U79" s="1659"/>
      <c r="V79" s="1078" t="str">
        <f t="shared" si="5"/>
        <v/>
      </c>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row>
    <row r="80" spans="2:49" x14ac:dyDescent="0.2">
      <c r="B80" s="1029"/>
      <c r="C80" s="1030"/>
      <c r="D80" s="1029"/>
      <c r="E80" s="1032"/>
      <c r="F80" s="1032"/>
      <c r="G80" s="1020"/>
      <c r="H80" s="1659"/>
      <c r="I80" s="1659"/>
      <c r="J80" s="1077" t="str">
        <f t="shared" si="0"/>
        <v/>
      </c>
      <c r="K80" s="1659"/>
      <c r="L80" s="1659"/>
      <c r="M80" s="1078" t="str">
        <f t="shared" si="1"/>
        <v/>
      </c>
      <c r="N80" s="1659"/>
      <c r="O80" s="1659"/>
      <c r="P80" s="1078" t="str">
        <f t="shared" si="2"/>
        <v/>
      </c>
      <c r="Q80" s="1659"/>
      <c r="R80" s="1659"/>
      <c r="S80" s="1078" t="str">
        <f t="shared" si="3"/>
        <v/>
      </c>
      <c r="T80" s="1661"/>
      <c r="U80" s="1659"/>
      <c r="V80" s="1078" t="str">
        <f t="shared" si="5"/>
        <v/>
      </c>
      <c r="W80" s="1016"/>
      <c r="X80" s="1016"/>
      <c r="Y80" s="1016"/>
      <c r="Z80" s="1016"/>
      <c r="AA80" s="1016"/>
      <c r="AB80" s="1016"/>
      <c r="AC80" s="1016"/>
      <c r="AD80" s="1016"/>
      <c r="AE80" s="1016"/>
      <c r="AF80" s="1016"/>
      <c r="AG80" s="1016"/>
      <c r="AH80" s="1016"/>
      <c r="AI80" s="1016"/>
      <c r="AJ80" s="1016"/>
      <c r="AK80" s="1016"/>
      <c r="AL80" s="1016"/>
      <c r="AM80" s="1016"/>
      <c r="AN80" s="1016"/>
      <c r="AO80" s="1016"/>
      <c r="AP80" s="1016"/>
      <c r="AQ80" s="1016"/>
      <c r="AR80" s="1016"/>
      <c r="AS80" s="1016"/>
      <c r="AT80" s="1016"/>
      <c r="AU80" s="1016"/>
      <c r="AV80" s="1016"/>
      <c r="AW80" s="1016"/>
    </row>
    <row r="81" spans="2:49" x14ac:dyDescent="0.2">
      <c r="B81" s="1029"/>
      <c r="C81" s="1030"/>
      <c r="D81" s="1029"/>
      <c r="E81" s="1032"/>
      <c r="F81" s="1032"/>
      <c r="G81" s="1020"/>
      <c r="H81" s="1659"/>
      <c r="I81" s="1659"/>
      <c r="J81" s="1077" t="str">
        <f t="shared" si="0"/>
        <v/>
      </c>
      <c r="K81" s="1659"/>
      <c r="L81" s="1659"/>
      <c r="M81" s="1078" t="str">
        <f t="shared" si="1"/>
        <v/>
      </c>
      <c r="N81" s="1659"/>
      <c r="O81" s="1659"/>
      <c r="P81" s="1078" t="str">
        <f t="shared" si="2"/>
        <v/>
      </c>
      <c r="Q81" s="1659"/>
      <c r="R81" s="1659"/>
      <c r="S81" s="1078" t="str">
        <f t="shared" si="3"/>
        <v/>
      </c>
      <c r="T81" s="1661"/>
      <c r="U81" s="1659"/>
      <c r="V81" s="1078" t="str">
        <f t="shared" si="5"/>
        <v/>
      </c>
      <c r="W81" s="1016"/>
      <c r="X81" s="1016"/>
      <c r="Y81" s="1016"/>
      <c r="Z81" s="1016"/>
      <c r="AA81" s="1016"/>
      <c r="AB81" s="1016"/>
      <c r="AC81" s="1016"/>
      <c r="AD81" s="1016"/>
      <c r="AE81" s="1016"/>
      <c r="AF81" s="1016"/>
      <c r="AG81" s="1016"/>
      <c r="AH81" s="1016"/>
      <c r="AI81" s="1016"/>
      <c r="AJ81" s="1016"/>
      <c r="AK81" s="1016"/>
      <c r="AL81" s="1016"/>
      <c r="AM81" s="1016"/>
      <c r="AN81" s="1016"/>
      <c r="AO81" s="1016"/>
      <c r="AP81" s="1016"/>
      <c r="AQ81" s="1016"/>
      <c r="AR81" s="1016"/>
      <c r="AS81" s="1016"/>
      <c r="AT81" s="1016"/>
      <c r="AU81" s="1016"/>
      <c r="AV81" s="1016"/>
      <c r="AW81" s="1016"/>
    </row>
    <row r="82" spans="2:49" x14ac:dyDescent="0.2">
      <c r="B82" s="1029"/>
      <c r="C82" s="1030"/>
      <c r="D82" s="1029"/>
      <c r="E82" s="1032"/>
      <c r="F82" s="1032"/>
      <c r="G82" s="1020"/>
      <c r="H82" s="1659"/>
      <c r="I82" s="1659"/>
      <c r="J82" s="1077" t="str">
        <f t="shared" si="0"/>
        <v/>
      </c>
      <c r="K82" s="1659"/>
      <c r="L82" s="1659"/>
      <c r="M82" s="1078" t="str">
        <f t="shared" si="1"/>
        <v/>
      </c>
      <c r="N82" s="1659"/>
      <c r="O82" s="1659"/>
      <c r="P82" s="1078" t="str">
        <f t="shared" si="2"/>
        <v/>
      </c>
      <c r="Q82" s="1659"/>
      <c r="R82" s="1659"/>
      <c r="S82" s="1078" t="str">
        <f t="shared" si="3"/>
        <v/>
      </c>
      <c r="T82" s="1661"/>
      <c r="U82" s="1659"/>
      <c r="V82" s="1078" t="str">
        <f t="shared" si="5"/>
        <v/>
      </c>
      <c r="W82" s="1016"/>
      <c r="X82" s="1016"/>
      <c r="Y82" s="1016"/>
      <c r="Z82" s="1016"/>
      <c r="AA82" s="1016"/>
      <c r="AB82" s="1016"/>
      <c r="AC82" s="1016"/>
      <c r="AD82" s="1016"/>
      <c r="AE82" s="1016"/>
      <c r="AF82" s="1016"/>
      <c r="AG82" s="1016"/>
      <c r="AH82" s="1016"/>
      <c r="AI82" s="1016"/>
      <c r="AJ82" s="1016"/>
      <c r="AK82" s="1016"/>
      <c r="AL82" s="1016"/>
      <c r="AM82" s="1016"/>
      <c r="AN82" s="1016"/>
      <c r="AO82" s="1016"/>
      <c r="AP82" s="1016"/>
      <c r="AQ82" s="1016"/>
      <c r="AR82" s="1016"/>
      <c r="AS82" s="1016"/>
      <c r="AT82" s="1016"/>
      <c r="AU82" s="1016"/>
      <c r="AV82" s="1016"/>
      <c r="AW82" s="1016"/>
    </row>
    <row r="83" spans="2:49" x14ac:dyDescent="0.2">
      <c r="B83" s="1029"/>
      <c r="C83" s="1030"/>
      <c r="D83" s="1029"/>
      <c r="E83" s="1032"/>
      <c r="F83" s="1032"/>
      <c r="G83" s="1020"/>
      <c r="H83" s="1659"/>
      <c r="I83" s="1659"/>
      <c r="J83" s="1077" t="str">
        <f t="shared" si="0"/>
        <v/>
      </c>
      <c r="K83" s="1659"/>
      <c r="L83" s="1659"/>
      <c r="M83" s="1078" t="str">
        <f t="shared" si="1"/>
        <v/>
      </c>
      <c r="N83" s="1659"/>
      <c r="O83" s="1659"/>
      <c r="P83" s="1078" t="str">
        <f t="shared" si="2"/>
        <v/>
      </c>
      <c r="Q83" s="1659"/>
      <c r="R83" s="1659"/>
      <c r="S83" s="1078" t="str">
        <f t="shared" si="3"/>
        <v/>
      </c>
      <c r="T83" s="1661"/>
      <c r="U83" s="1659"/>
      <c r="V83" s="1078" t="str">
        <f t="shared" si="5"/>
        <v/>
      </c>
      <c r="W83" s="1016"/>
      <c r="X83" s="1016"/>
      <c r="Y83" s="1016"/>
      <c r="Z83" s="1016"/>
      <c r="AA83" s="1016"/>
      <c r="AB83" s="1016"/>
      <c r="AC83" s="1016"/>
      <c r="AD83" s="1016"/>
      <c r="AE83" s="1016"/>
      <c r="AF83" s="1016"/>
      <c r="AG83" s="1016"/>
      <c r="AH83" s="1016"/>
      <c r="AI83" s="1016"/>
      <c r="AJ83" s="1016"/>
      <c r="AK83" s="1016"/>
      <c r="AL83" s="1016"/>
      <c r="AM83" s="1016"/>
      <c r="AN83" s="1016"/>
      <c r="AO83" s="1016"/>
      <c r="AP83" s="1016"/>
      <c r="AQ83" s="1016"/>
      <c r="AR83" s="1016"/>
      <c r="AS83" s="1016"/>
      <c r="AT83" s="1016"/>
      <c r="AU83" s="1016"/>
      <c r="AV83" s="1016"/>
      <c r="AW83" s="1016"/>
    </row>
    <row r="84" spans="2:49" x14ac:dyDescent="0.2">
      <c r="B84" s="1029"/>
      <c r="C84" s="1030"/>
      <c r="D84" s="1029"/>
      <c r="E84" s="1032"/>
      <c r="F84" s="1032"/>
      <c r="G84" s="1020"/>
      <c r="H84" s="1659"/>
      <c r="I84" s="1659"/>
      <c r="J84" s="1077" t="str">
        <f t="shared" si="0"/>
        <v/>
      </c>
      <c r="K84" s="1659"/>
      <c r="L84" s="1659"/>
      <c r="M84" s="1078" t="str">
        <f t="shared" si="1"/>
        <v/>
      </c>
      <c r="N84" s="1659"/>
      <c r="O84" s="1659"/>
      <c r="P84" s="1078" t="str">
        <f t="shared" si="2"/>
        <v/>
      </c>
      <c r="Q84" s="1659"/>
      <c r="R84" s="1659"/>
      <c r="S84" s="1078" t="str">
        <f t="shared" si="3"/>
        <v/>
      </c>
      <c r="T84" s="1661"/>
      <c r="U84" s="1659"/>
      <c r="V84" s="1078" t="str">
        <f t="shared" si="5"/>
        <v/>
      </c>
      <c r="W84" s="1016"/>
      <c r="X84" s="1016"/>
      <c r="Y84" s="1016"/>
      <c r="Z84" s="1016"/>
      <c r="AA84" s="1016"/>
      <c r="AB84" s="1016"/>
      <c r="AC84" s="1016"/>
      <c r="AD84" s="1016"/>
      <c r="AE84" s="1016"/>
      <c r="AF84" s="1016"/>
      <c r="AG84" s="1016"/>
      <c r="AH84" s="1016"/>
      <c r="AI84" s="1016"/>
      <c r="AJ84" s="1016"/>
      <c r="AK84" s="1016"/>
      <c r="AL84" s="1016"/>
      <c r="AM84" s="1016"/>
      <c r="AN84" s="1016"/>
      <c r="AO84" s="1016"/>
      <c r="AP84" s="1016"/>
      <c r="AQ84" s="1016"/>
      <c r="AR84" s="1016"/>
      <c r="AS84" s="1016"/>
      <c r="AT84" s="1016"/>
      <c r="AU84" s="1016"/>
      <c r="AV84" s="1016"/>
      <c r="AW84" s="1016"/>
    </row>
    <row r="85" spans="2:49" x14ac:dyDescent="0.2">
      <c r="B85" s="1029"/>
      <c r="C85" s="1030"/>
      <c r="D85" s="1029"/>
      <c r="E85" s="1032"/>
      <c r="F85" s="1032"/>
      <c r="G85" s="1020"/>
      <c r="H85" s="1659"/>
      <c r="I85" s="1659"/>
      <c r="J85" s="1077" t="str">
        <f t="shared" si="0"/>
        <v/>
      </c>
      <c r="K85" s="1659"/>
      <c r="L85" s="1659"/>
      <c r="M85" s="1078" t="str">
        <f t="shared" si="1"/>
        <v/>
      </c>
      <c r="N85" s="1659"/>
      <c r="O85" s="1659"/>
      <c r="P85" s="1078" t="str">
        <f t="shared" si="2"/>
        <v/>
      </c>
      <c r="Q85" s="1659"/>
      <c r="R85" s="1659"/>
      <c r="S85" s="1078" t="str">
        <f t="shared" si="3"/>
        <v/>
      </c>
      <c r="T85" s="1661"/>
      <c r="U85" s="1659"/>
      <c r="V85" s="1078" t="str">
        <f t="shared" si="5"/>
        <v/>
      </c>
      <c r="W85" s="1016"/>
      <c r="X85" s="1016"/>
      <c r="Y85" s="1016"/>
      <c r="Z85" s="1016"/>
      <c r="AA85" s="1016"/>
      <c r="AB85" s="1016"/>
      <c r="AC85" s="1016"/>
      <c r="AD85" s="1016"/>
      <c r="AE85" s="1016"/>
      <c r="AF85" s="1016"/>
      <c r="AG85" s="1016"/>
      <c r="AH85" s="1016"/>
      <c r="AI85" s="1016"/>
      <c r="AJ85" s="1016"/>
      <c r="AK85" s="1016"/>
      <c r="AL85" s="1016"/>
      <c r="AM85" s="1016"/>
      <c r="AN85" s="1016"/>
      <c r="AO85" s="1016"/>
      <c r="AP85" s="1016"/>
      <c r="AQ85" s="1016"/>
      <c r="AR85" s="1016"/>
      <c r="AS85" s="1016"/>
      <c r="AT85" s="1016"/>
      <c r="AU85" s="1016"/>
      <c r="AV85" s="1016"/>
      <c r="AW85" s="1016"/>
    </row>
    <row r="86" spans="2:49" x14ac:dyDescent="0.2">
      <c r="B86" s="1029"/>
      <c r="C86" s="1030"/>
      <c r="D86" s="1029"/>
      <c r="E86" s="1032"/>
      <c r="F86" s="1032"/>
      <c r="G86" s="1020"/>
      <c r="H86" s="1659"/>
      <c r="I86" s="1659"/>
      <c r="J86" s="1077" t="str">
        <f t="shared" si="0"/>
        <v/>
      </c>
      <c r="K86" s="1659"/>
      <c r="L86" s="1659"/>
      <c r="M86" s="1078" t="str">
        <f t="shared" si="1"/>
        <v/>
      </c>
      <c r="N86" s="1659"/>
      <c r="O86" s="1659"/>
      <c r="P86" s="1078" t="str">
        <f t="shared" si="2"/>
        <v/>
      </c>
      <c r="Q86" s="1659"/>
      <c r="R86" s="1659"/>
      <c r="S86" s="1078" t="str">
        <f t="shared" si="3"/>
        <v/>
      </c>
      <c r="T86" s="1661"/>
      <c r="U86" s="1659"/>
      <c r="V86" s="1078" t="str">
        <f t="shared" si="5"/>
        <v/>
      </c>
      <c r="W86" s="1016"/>
      <c r="X86" s="1016"/>
      <c r="Y86" s="1016"/>
      <c r="Z86" s="1016"/>
      <c r="AA86" s="1016"/>
      <c r="AB86" s="1016"/>
      <c r="AC86" s="1016"/>
      <c r="AD86" s="1016"/>
      <c r="AE86" s="1016"/>
      <c r="AF86" s="1016"/>
      <c r="AG86" s="1016"/>
      <c r="AH86" s="1016"/>
      <c r="AI86" s="1016"/>
      <c r="AJ86" s="1016"/>
      <c r="AK86" s="1016"/>
      <c r="AL86" s="1016"/>
      <c r="AM86" s="1016"/>
      <c r="AN86" s="1016"/>
      <c r="AO86" s="1016"/>
      <c r="AP86" s="1016"/>
      <c r="AQ86" s="1016"/>
      <c r="AR86" s="1016"/>
      <c r="AS86" s="1016"/>
      <c r="AT86" s="1016"/>
      <c r="AU86" s="1016"/>
      <c r="AV86" s="1016"/>
      <c r="AW86" s="1016"/>
    </row>
    <row r="87" spans="2:49" x14ac:dyDescent="0.2">
      <c r="B87" s="1029"/>
      <c r="C87" s="1030"/>
      <c r="D87" s="1029"/>
      <c r="E87" s="1032"/>
      <c r="F87" s="1032"/>
      <c r="G87" s="1020"/>
      <c r="H87" s="1659"/>
      <c r="I87" s="1659"/>
      <c r="J87" s="1077" t="str">
        <f t="shared" si="0"/>
        <v/>
      </c>
      <c r="K87" s="1659"/>
      <c r="L87" s="1659"/>
      <c r="M87" s="1078" t="str">
        <f t="shared" si="1"/>
        <v/>
      </c>
      <c r="N87" s="1659"/>
      <c r="O87" s="1659"/>
      <c r="P87" s="1078" t="str">
        <f t="shared" si="2"/>
        <v/>
      </c>
      <c r="Q87" s="1659"/>
      <c r="R87" s="1659"/>
      <c r="S87" s="1078" t="str">
        <f t="shared" si="3"/>
        <v/>
      </c>
      <c r="T87" s="1661"/>
      <c r="U87" s="1659"/>
      <c r="V87" s="1078" t="str">
        <f t="shared" si="5"/>
        <v/>
      </c>
      <c r="W87" s="1016"/>
      <c r="X87" s="1016"/>
      <c r="Y87" s="1016"/>
      <c r="Z87" s="1016"/>
      <c r="AA87" s="1016"/>
      <c r="AB87" s="1016"/>
      <c r="AC87" s="1016"/>
      <c r="AD87" s="1016"/>
      <c r="AE87" s="1016"/>
      <c r="AF87" s="1016"/>
      <c r="AG87" s="1016"/>
      <c r="AH87" s="1016"/>
      <c r="AI87" s="1016"/>
      <c r="AJ87" s="1016"/>
      <c r="AK87" s="1016"/>
      <c r="AL87" s="1016"/>
      <c r="AM87" s="1016"/>
      <c r="AN87" s="1016"/>
      <c r="AO87" s="1016"/>
      <c r="AP87" s="1016"/>
      <c r="AQ87" s="1016"/>
      <c r="AR87" s="1016"/>
      <c r="AS87" s="1016"/>
      <c r="AT87" s="1016"/>
      <c r="AU87" s="1016"/>
      <c r="AV87" s="1016"/>
      <c r="AW87" s="1016"/>
    </row>
    <row r="88" spans="2:49" x14ac:dyDescent="0.2">
      <c r="B88" s="1029"/>
      <c r="C88" s="1030"/>
      <c r="D88" s="1029"/>
      <c r="E88" s="1032"/>
      <c r="F88" s="1032"/>
      <c r="G88" s="1020"/>
      <c r="H88" s="1659"/>
      <c r="I88" s="1659"/>
      <c r="J88" s="1077" t="str">
        <f t="shared" si="0"/>
        <v/>
      </c>
      <c r="K88" s="1659"/>
      <c r="L88" s="1659"/>
      <c r="M88" s="1078" t="str">
        <f t="shared" si="1"/>
        <v/>
      </c>
      <c r="N88" s="1659"/>
      <c r="O88" s="1659"/>
      <c r="P88" s="1078" t="str">
        <f t="shared" si="2"/>
        <v/>
      </c>
      <c r="Q88" s="1659"/>
      <c r="R88" s="1659"/>
      <c r="S88" s="1078" t="str">
        <f t="shared" si="3"/>
        <v/>
      </c>
      <c r="T88" s="1661"/>
      <c r="U88" s="1659"/>
      <c r="V88" s="1078" t="str">
        <f t="shared" si="5"/>
        <v/>
      </c>
      <c r="W88" s="1016"/>
      <c r="X88" s="1016"/>
      <c r="Y88" s="1016"/>
      <c r="Z88" s="1016"/>
      <c r="AA88" s="1016"/>
      <c r="AB88" s="1016"/>
      <c r="AC88" s="1016"/>
      <c r="AD88" s="1016"/>
      <c r="AE88" s="1016"/>
      <c r="AF88" s="1016"/>
      <c r="AG88" s="1016"/>
      <c r="AH88" s="1016"/>
      <c r="AI88" s="1016"/>
      <c r="AJ88" s="1016"/>
      <c r="AK88" s="1016"/>
      <c r="AL88" s="1016"/>
      <c r="AM88" s="1016"/>
      <c r="AN88" s="1016"/>
      <c r="AO88" s="1016"/>
      <c r="AP88" s="1016"/>
      <c r="AQ88" s="1016"/>
      <c r="AR88" s="1016"/>
      <c r="AS88" s="1016"/>
      <c r="AT88" s="1016"/>
      <c r="AU88" s="1016"/>
      <c r="AV88" s="1016"/>
      <c r="AW88" s="1016"/>
    </row>
    <row r="89" spans="2:49" x14ac:dyDescent="0.2">
      <c r="B89" s="1029"/>
      <c r="C89" s="1030"/>
      <c r="D89" s="1029"/>
      <c r="E89" s="1032"/>
      <c r="F89" s="1032"/>
      <c r="G89" s="1020"/>
      <c r="H89" s="1659"/>
      <c r="I89" s="1659"/>
      <c r="J89" s="1077" t="str">
        <f t="shared" si="0"/>
        <v/>
      </c>
      <c r="K89" s="1659"/>
      <c r="L89" s="1659"/>
      <c r="M89" s="1078" t="str">
        <f t="shared" si="1"/>
        <v/>
      </c>
      <c r="N89" s="1659"/>
      <c r="O89" s="1659"/>
      <c r="P89" s="1078" t="str">
        <f t="shared" si="2"/>
        <v/>
      </c>
      <c r="Q89" s="1659"/>
      <c r="R89" s="1659"/>
      <c r="S89" s="1078" t="str">
        <f t="shared" si="3"/>
        <v/>
      </c>
      <c r="T89" s="1661"/>
      <c r="U89" s="1659"/>
      <c r="V89" s="1078" t="str">
        <f t="shared" si="5"/>
        <v/>
      </c>
      <c r="W89" s="1016"/>
      <c r="X89" s="1016"/>
      <c r="Y89" s="1016"/>
      <c r="Z89" s="1016"/>
      <c r="AA89" s="1016"/>
      <c r="AB89" s="1016"/>
      <c r="AC89" s="1016"/>
      <c r="AD89" s="1016"/>
      <c r="AE89" s="1016"/>
      <c r="AF89" s="1016"/>
      <c r="AG89" s="1016"/>
      <c r="AH89" s="1016"/>
      <c r="AI89" s="1016"/>
      <c r="AJ89" s="1016"/>
      <c r="AK89" s="1016"/>
      <c r="AL89" s="1016"/>
      <c r="AM89" s="1016"/>
      <c r="AN89" s="1016"/>
      <c r="AO89" s="1016"/>
      <c r="AP89" s="1016"/>
      <c r="AQ89" s="1016"/>
      <c r="AR89" s="1016"/>
      <c r="AS89" s="1016"/>
      <c r="AT89" s="1016"/>
      <c r="AU89" s="1016"/>
      <c r="AV89" s="1016"/>
      <c r="AW89" s="1016"/>
    </row>
    <row r="90" spans="2:49" x14ac:dyDescent="0.2">
      <c r="B90" s="1029"/>
      <c r="C90" s="1030"/>
      <c r="D90" s="1029"/>
      <c r="E90" s="1032"/>
      <c r="F90" s="1032"/>
      <c r="G90" s="1020"/>
      <c r="H90" s="1659"/>
      <c r="I90" s="1659"/>
      <c r="J90" s="1077" t="str">
        <f t="shared" ref="J90:J153" si="6">IF(AND(H90=0,I90=0),"",IF(I90&lt;&gt;0,IF(I90&gt;H90,100,I90/H90*100),0))</f>
        <v/>
      </c>
      <c r="K90" s="1659"/>
      <c r="L90" s="1659"/>
      <c r="M90" s="1078" t="str">
        <f t="shared" ref="M90:M153" si="7">IF(AND(K90=0,L90=0),"",IF(L90&lt;&gt;0,IF(L90&gt;K90,100,L90/K90*100),0))</f>
        <v/>
      </c>
      <c r="N90" s="1659"/>
      <c r="O90" s="1659"/>
      <c r="P90" s="1078" t="str">
        <f t="shared" ref="P90:P153" si="8">IF(AND(N90=0,O90=0),"",IF(O90&lt;&gt;0,IF(O90&gt;N90,100,O90/N90*100),0))</f>
        <v/>
      </c>
      <c r="Q90" s="1659"/>
      <c r="R90" s="1659"/>
      <c r="S90" s="1078" t="str">
        <f t="shared" ref="S90:S153" si="9">IF(AND(Q90=0,R90=0),"",IF(R90&lt;&gt;0,IF(R90&lt;=Q90,100,100-(R90-Q90)),0))</f>
        <v/>
      </c>
      <c r="T90" s="1661"/>
      <c r="U90" s="1659"/>
      <c r="V90" s="1078" t="str">
        <f t="shared" ref="V90:V153" si="10">IF(AND(T90=0,U90=0),"",IF(U90&lt;&gt;0,IF(U90&gt;T90,100,U90/T90*100),0))</f>
        <v/>
      </c>
      <c r="W90" s="1016"/>
      <c r="X90" s="1016"/>
      <c r="Y90" s="1016"/>
      <c r="Z90" s="1016"/>
      <c r="AA90" s="1016"/>
      <c r="AB90" s="1016"/>
      <c r="AC90" s="1016"/>
      <c r="AD90" s="1016"/>
      <c r="AE90" s="1016"/>
      <c r="AF90" s="1016"/>
      <c r="AG90" s="1016"/>
      <c r="AH90" s="1016"/>
      <c r="AI90" s="1016"/>
      <c r="AJ90" s="1016"/>
      <c r="AK90" s="1016"/>
      <c r="AL90" s="1016"/>
      <c r="AM90" s="1016"/>
      <c r="AN90" s="1016"/>
      <c r="AO90" s="1016"/>
      <c r="AP90" s="1016"/>
      <c r="AQ90" s="1016"/>
      <c r="AR90" s="1016"/>
      <c r="AS90" s="1016"/>
      <c r="AT90" s="1016"/>
      <c r="AU90" s="1016"/>
      <c r="AV90" s="1016"/>
      <c r="AW90" s="1016"/>
    </row>
    <row r="91" spans="2:49" x14ac:dyDescent="0.2">
      <c r="B91" s="1029"/>
      <c r="C91" s="1030"/>
      <c r="D91" s="1029"/>
      <c r="E91" s="1032"/>
      <c r="F91" s="1032"/>
      <c r="G91" s="1020"/>
      <c r="H91" s="1659"/>
      <c r="I91" s="1659"/>
      <c r="J91" s="1077" t="str">
        <f t="shared" si="6"/>
        <v/>
      </c>
      <c r="K91" s="1659"/>
      <c r="L91" s="1659"/>
      <c r="M91" s="1078" t="str">
        <f t="shared" si="7"/>
        <v/>
      </c>
      <c r="N91" s="1659"/>
      <c r="O91" s="1659"/>
      <c r="P91" s="1078" t="str">
        <f t="shared" si="8"/>
        <v/>
      </c>
      <c r="Q91" s="1659"/>
      <c r="R91" s="1659"/>
      <c r="S91" s="1078" t="str">
        <f t="shared" si="9"/>
        <v/>
      </c>
      <c r="T91" s="1661"/>
      <c r="U91" s="1659"/>
      <c r="V91" s="1078" t="str">
        <f t="shared" si="10"/>
        <v/>
      </c>
      <c r="W91" s="1016"/>
      <c r="X91" s="1016"/>
      <c r="Y91" s="1016"/>
      <c r="Z91" s="1016"/>
      <c r="AA91" s="1016"/>
      <c r="AB91" s="1016"/>
      <c r="AC91" s="1016"/>
      <c r="AD91" s="1016"/>
      <c r="AE91" s="1016"/>
      <c r="AF91" s="1016"/>
      <c r="AG91" s="1016"/>
      <c r="AH91" s="1016"/>
      <c r="AI91" s="1016"/>
      <c r="AJ91" s="1016"/>
      <c r="AK91" s="1016"/>
      <c r="AL91" s="1016"/>
      <c r="AM91" s="1016"/>
      <c r="AN91" s="1016"/>
      <c r="AO91" s="1016"/>
      <c r="AP91" s="1016"/>
      <c r="AQ91" s="1016"/>
      <c r="AR91" s="1016"/>
      <c r="AS91" s="1016"/>
      <c r="AT91" s="1016"/>
      <c r="AU91" s="1016"/>
      <c r="AV91" s="1016"/>
      <c r="AW91" s="1016"/>
    </row>
    <row r="92" spans="2:49" x14ac:dyDescent="0.2">
      <c r="B92" s="1029"/>
      <c r="C92" s="1030"/>
      <c r="D92" s="1029"/>
      <c r="E92" s="1032"/>
      <c r="F92" s="1032"/>
      <c r="G92" s="1020"/>
      <c r="H92" s="1659"/>
      <c r="I92" s="1659"/>
      <c r="J92" s="1077" t="str">
        <f t="shared" si="6"/>
        <v/>
      </c>
      <c r="K92" s="1659"/>
      <c r="L92" s="1659"/>
      <c r="M92" s="1078" t="str">
        <f t="shared" si="7"/>
        <v/>
      </c>
      <c r="N92" s="1659"/>
      <c r="O92" s="1659"/>
      <c r="P92" s="1078" t="str">
        <f t="shared" si="8"/>
        <v/>
      </c>
      <c r="Q92" s="1659"/>
      <c r="R92" s="1659"/>
      <c r="S92" s="1078" t="str">
        <f t="shared" si="9"/>
        <v/>
      </c>
      <c r="T92" s="1661"/>
      <c r="U92" s="1659"/>
      <c r="V92" s="1078" t="str">
        <f t="shared" si="10"/>
        <v/>
      </c>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1016"/>
      <c r="AT92" s="1016"/>
      <c r="AU92" s="1016"/>
      <c r="AV92" s="1016"/>
      <c r="AW92" s="1016"/>
    </row>
    <row r="93" spans="2:49" x14ac:dyDescent="0.2">
      <c r="B93" s="1029"/>
      <c r="C93" s="1030"/>
      <c r="D93" s="1029"/>
      <c r="E93" s="1032"/>
      <c r="F93" s="1032"/>
      <c r="G93" s="1020"/>
      <c r="H93" s="1659"/>
      <c r="I93" s="1659"/>
      <c r="J93" s="1077" t="str">
        <f t="shared" si="6"/>
        <v/>
      </c>
      <c r="K93" s="1659"/>
      <c r="L93" s="1659"/>
      <c r="M93" s="1078" t="str">
        <f t="shared" si="7"/>
        <v/>
      </c>
      <c r="N93" s="1659"/>
      <c r="O93" s="1659"/>
      <c r="P93" s="1078" t="str">
        <f t="shared" si="8"/>
        <v/>
      </c>
      <c r="Q93" s="1659"/>
      <c r="R93" s="1659"/>
      <c r="S93" s="1078" t="str">
        <f t="shared" si="9"/>
        <v/>
      </c>
      <c r="T93" s="1661"/>
      <c r="U93" s="1659"/>
      <c r="V93" s="1078" t="str">
        <f t="shared" si="10"/>
        <v/>
      </c>
      <c r="W93" s="1016"/>
      <c r="X93" s="1016"/>
      <c r="Y93" s="1016"/>
      <c r="Z93" s="1016"/>
      <c r="AA93" s="1016"/>
      <c r="AB93" s="1016"/>
      <c r="AC93" s="1016"/>
      <c r="AD93" s="1016"/>
      <c r="AE93" s="1016"/>
      <c r="AF93" s="1016"/>
      <c r="AG93" s="1016"/>
      <c r="AH93" s="1016"/>
      <c r="AI93" s="1016"/>
      <c r="AJ93" s="1016"/>
      <c r="AK93" s="1016"/>
      <c r="AL93" s="1016"/>
      <c r="AM93" s="1016"/>
      <c r="AN93" s="1016"/>
      <c r="AO93" s="1016"/>
      <c r="AP93" s="1016"/>
      <c r="AQ93" s="1016"/>
      <c r="AR93" s="1016"/>
      <c r="AS93" s="1016"/>
      <c r="AT93" s="1016"/>
      <c r="AU93" s="1016"/>
      <c r="AV93" s="1016"/>
      <c r="AW93" s="1016"/>
    </row>
    <row r="94" spans="2:49" x14ac:dyDescent="0.2">
      <c r="B94" s="1029"/>
      <c r="C94" s="1030"/>
      <c r="D94" s="1029"/>
      <c r="E94" s="1032"/>
      <c r="F94" s="1032"/>
      <c r="G94" s="1020"/>
      <c r="H94" s="1659"/>
      <c r="I94" s="1659"/>
      <c r="J94" s="1077" t="str">
        <f t="shared" si="6"/>
        <v/>
      </c>
      <c r="K94" s="1659"/>
      <c r="L94" s="1659"/>
      <c r="M94" s="1078" t="str">
        <f t="shared" si="7"/>
        <v/>
      </c>
      <c r="N94" s="1659"/>
      <c r="O94" s="1659"/>
      <c r="P94" s="1078" t="str">
        <f t="shared" si="8"/>
        <v/>
      </c>
      <c r="Q94" s="1659"/>
      <c r="R94" s="1659"/>
      <c r="S94" s="1078" t="str">
        <f t="shared" si="9"/>
        <v/>
      </c>
      <c r="T94" s="1661"/>
      <c r="U94" s="1659"/>
      <c r="V94" s="1078" t="str">
        <f t="shared" si="10"/>
        <v/>
      </c>
      <c r="W94" s="1016"/>
      <c r="X94" s="1016"/>
      <c r="Y94" s="1016"/>
      <c r="Z94" s="1016"/>
      <c r="AA94" s="1016"/>
      <c r="AB94" s="1016"/>
      <c r="AC94" s="1016"/>
      <c r="AD94" s="1016"/>
      <c r="AE94" s="1016"/>
      <c r="AF94" s="1016"/>
      <c r="AG94" s="1016"/>
      <c r="AH94" s="1016"/>
      <c r="AI94" s="1016"/>
      <c r="AJ94" s="1016"/>
      <c r="AK94" s="1016"/>
      <c r="AL94" s="1016"/>
      <c r="AM94" s="1016"/>
      <c r="AN94" s="1016"/>
      <c r="AO94" s="1016"/>
      <c r="AP94" s="1016"/>
      <c r="AQ94" s="1016"/>
      <c r="AR94" s="1016"/>
      <c r="AS94" s="1016"/>
      <c r="AT94" s="1016"/>
      <c r="AU94" s="1016"/>
      <c r="AV94" s="1016"/>
      <c r="AW94" s="1016"/>
    </row>
    <row r="95" spans="2:49" x14ac:dyDescent="0.2">
      <c r="B95" s="1029"/>
      <c r="C95" s="1030"/>
      <c r="D95" s="1029"/>
      <c r="E95" s="1032"/>
      <c r="F95" s="1032"/>
      <c r="G95" s="1020"/>
      <c r="H95" s="1659"/>
      <c r="I95" s="1659"/>
      <c r="J95" s="1077" t="str">
        <f t="shared" si="6"/>
        <v/>
      </c>
      <c r="K95" s="1659"/>
      <c r="L95" s="1659"/>
      <c r="M95" s="1078" t="str">
        <f t="shared" si="7"/>
        <v/>
      </c>
      <c r="N95" s="1659"/>
      <c r="O95" s="1659"/>
      <c r="P95" s="1078" t="str">
        <f t="shared" si="8"/>
        <v/>
      </c>
      <c r="Q95" s="1659"/>
      <c r="R95" s="1659"/>
      <c r="S95" s="1078" t="str">
        <f t="shared" si="9"/>
        <v/>
      </c>
      <c r="T95" s="1661"/>
      <c r="U95" s="1659"/>
      <c r="V95" s="1078" t="str">
        <f t="shared" si="10"/>
        <v/>
      </c>
      <c r="W95" s="1016"/>
      <c r="X95" s="1016"/>
      <c r="Y95" s="1016"/>
      <c r="Z95" s="1016"/>
      <c r="AA95" s="1016"/>
      <c r="AB95" s="1016"/>
      <c r="AC95" s="1016"/>
      <c r="AD95" s="1016"/>
      <c r="AE95" s="1016"/>
      <c r="AF95" s="1016"/>
      <c r="AG95" s="1016"/>
      <c r="AH95" s="1016"/>
      <c r="AI95" s="1016"/>
      <c r="AJ95" s="1016"/>
      <c r="AK95" s="1016"/>
      <c r="AL95" s="1016"/>
      <c r="AM95" s="1016"/>
      <c r="AN95" s="1016"/>
      <c r="AO95" s="1016"/>
      <c r="AP95" s="1016"/>
      <c r="AQ95" s="1016"/>
      <c r="AR95" s="1016"/>
      <c r="AS95" s="1016"/>
      <c r="AT95" s="1016"/>
      <c r="AU95" s="1016"/>
      <c r="AV95" s="1016"/>
      <c r="AW95" s="1016"/>
    </row>
    <row r="96" spans="2:49" x14ac:dyDescent="0.2">
      <c r="B96" s="1029"/>
      <c r="C96" s="1030"/>
      <c r="D96" s="1029"/>
      <c r="E96" s="1032"/>
      <c r="F96" s="1032"/>
      <c r="G96" s="1020"/>
      <c r="H96" s="1659"/>
      <c r="I96" s="1659"/>
      <c r="J96" s="1077" t="str">
        <f t="shared" si="6"/>
        <v/>
      </c>
      <c r="K96" s="1659"/>
      <c r="L96" s="1659"/>
      <c r="M96" s="1078" t="str">
        <f t="shared" si="7"/>
        <v/>
      </c>
      <c r="N96" s="1659"/>
      <c r="O96" s="1659"/>
      <c r="P96" s="1078" t="str">
        <f t="shared" si="8"/>
        <v/>
      </c>
      <c r="Q96" s="1659"/>
      <c r="R96" s="1659"/>
      <c r="S96" s="1078" t="str">
        <f t="shared" si="9"/>
        <v/>
      </c>
      <c r="T96" s="1661"/>
      <c r="U96" s="1659"/>
      <c r="V96" s="1078" t="str">
        <f t="shared" si="10"/>
        <v/>
      </c>
      <c r="W96" s="1016"/>
      <c r="X96" s="1016"/>
      <c r="Y96" s="1016"/>
      <c r="Z96" s="1016"/>
      <c r="AA96" s="1016"/>
      <c r="AB96" s="1016"/>
      <c r="AC96" s="1016"/>
      <c r="AD96" s="1016"/>
      <c r="AE96" s="1016"/>
      <c r="AF96" s="1016"/>
      <c r="AG96" s="1016"/>
      <c r="AH96" s="1016"/>
      <c r="AI96" s="1016"/>
      <c r="AJ96" s="1016"/>
      <c r="AK96" s="1016"/>
      <c r="AL96" s="1016"/>
      <c r="AM96" s="1016"/>
      <c r="AN96" s="1016"/>
      <c r="AO96" s="1016"/>
      <c r="AP96" s="1016"/>
      <c r="AQ96" s="1016"/>
      <c r="AR96" s="1016"/>
      <c r="AS96" s="1016"/>
      <c r="AT96" s="1016"/>
      <c r="AU96" s="1016"/>
      <c r="AV96" s="1016"/>
      <c r="AW96" s="1016"/>
    </row>
    <row r="97" spans="2:49" x14ac:dyDescent="0.2">
      <c r="B97" s="1029"/>
      <c r="C97" s="1030"/>
      <c r="D97" s="1029"/>
      <c r="E97" s="1032"/>
      <c r="F97" s="1032"/>
      <c r="G97" s="1020"/>
      <c r="H97" s="1659"/>
      <c r="I97" s="1659"/>
      <c r="J97" s="1077" t="str">
        <f t="shared" si="6"/>
        <v/>
      </c>
      <c r="K97" s="1659"/>
      <c r="L97" s="1659"/>
      <c r="M97" s="1078" t="str">
        <f t="shared" si="7"/>
        <v/>
      </c>
      <c r="N97" s="1659"/>
      <c r="O97" s="1659"/>
      <c r="P97" s="1078" t="str">
        <f t="shared" si="8"/>
        <v/>
      </c>
      <c r="Q97" s="1659"/>
      <c r="R97" s="1659"/>
      <c r="S97" s="1078" t="str">
        <f t="shared" si="9"/>
        <v/>
      </c>
      <c r="T97" s="1661"/>
      <c r="U97" s="1659"/>
      <c r="V97" s="1078" t="str">
        <f t="shared" si="10"/>
        <v/>
      </c>
      <c r="W97" s="1016"/>
      <c r="X97" s="1016"/>
      <c r="Y97" s="1016"/>
      <c r="Z97" s="1016"/>
      <c r="AA97" s="1016"/>
      <c r="AB97" s="1016"/>
      <c r="AC97" s="1016"/>
      <c r="AD97" s="1016"/>
      <c r="AE97" s="1016"/>
      <c r="AF97" s="1016"/>
      <c r="AG97" s="1016"/>
      <c r="AH97" s="1016"/>
      <c r="AI97" s="1016"/>
      <c r="AJ97" s="1016"/>
      <c r="AK97" s="1016"/>
      <c r="AL97" s="1016"/>
      <c r="AM97" s="1016"/>
      <c r="AN97" s="1016"/>
      <c r="AO97" s="1016"/>
      <c r="AP97" s="1016"/>
      <c r="AQ97" s="1016"/>
      <c r="AR97" s="1016"/>
      <c r="AS97" s="1016"/>
      <c r="AT97" s="1016"/>
      <c r="AU97" s="1016"/>
      <c r="AV97" s="1016"/>
      <c r="AW97" s="1016"/>
    </row>
    <row r="98" spans="2:49" x14ac:dyDescent="0.2">
      <c r="B98" s="1029"/>
      <c r="C98" s="1030"/>
      <c r="D98" s="1029"/>
      <c r="E98" s="1032"/>
      <c r="F98" s="1032"/>
      <c r="G98" s="1020"/>
      <c r="H98" s="1659"/>
      <c r="I98" s="1659"/>
      <c r="J98" s="1077" t="str">
        <f t="shared" si="6"/>
        <v/>
      </c>
      <c r="K98" s="1659"/>
      <c r="L98" s="1659"/>
      <c r="M98" s="1078" t="str">
        <f t="shared" si="7"/>
        <v/>
      </c>
      <c r="N98" s="1659"/>
      <c r="O98" s="1659"/>
      <c r="P98" s="1078" t="str">
        <f t="shared" si="8"/>
        <v/>
      </c>
      <c r="Q98" s="1659"/>
      <c r="R98" s="1659"/>
      <c r="S98" s="1078" t="str">
        <f t="shared" si="9"/>
        <v/>
      </c>
      <c r="T98" s="1661"/>
      <c r="U98" s="1659"/>
      <c r="V98" s="1078" t="str">
        <f t="shared" si="10"/>
        <v/>
      </c>
      <c r="W98" s="1016"/>
      <c r="X98" s="1016"/>
      <c r="Y98" s="1016"/>
      <c r="Z98" s="1016"/>
      <c r="AA98" s="1016"/>
      <c r="AB98" s="1016"/>
      <c r="AC98" s="1016"/>
      <c r="AD98" s="1016"/>
      <c r="AE98" s="1016"/>
      <c r="AF98" s="1016"/>
      <c r="AG98" s="1016"/>
      <c r="AH98" s="1016"/>
      <c r="AI98" s="1016"/>
      <c r="AJ98" s="1016"/>
      <c r="AK98" s="1016"/>
      <c r="AL98" s="1016"/>
      <c r="AM98" s="1016"/>
      <c r="AN98" s="1016"/>
      <c r="AO98" s="1016"/>
      <c r="AP98" s="1016"/>
      <c r="AQ98" s="1016"/>
      <c r="AR98" s="1016"/>
      <c r="AS98" s="1016"/>
      <c r="AT98" s="1016"/>
      <c r="AU98" s="1016"/>
      <c r="AV98" s="1016"/>
      <c r="AW98" s="1016"/>
    </row>
    <row r="99" spans="2:49" x14ac:dyDescent="0.2">
      <c r="B99" s="1029"/>
      <c r="C99" s="1030"/>
      <c r="D99" s="1029"/>
      <c r="E99" s="1032"/>
      <c r="F99" s="1032"/>
      <c r="G99" s="1020"/>
      <c r="H99" s="1659"/>
      <c r="I99" s="1659"/>
      <c r="J99" s="1077" t="str">
        <f t="shared" si="6"/>
        <v/>
      </c>
      <c r="K99" s="1659"/>
      <c r="L99" s="1659"/>
      <c r="M99" s="1078" t="str">
        <f t="shared" si="7"/>
        <v/>
      </c>
      <c r="N99" s="1659"/>
      <c r="O99" s="1659"/>
      <c r="P99" s="1078" t="str">
        <f t="shared" si="8"/>
        <v/>
      </c>
      <c r="Q99" s="1659"/>
      <c r="R99" s="1659"/>
      <c r="S99" s="1078" t="str">
        <f t="shared" si="9"/>
        <v/>
      </c>
      <c r="T99" s="1661"/>
      <c r="U99" s="1659"/>
      <c r="V99" s="1078" t="str">
        <f t="shared" si="10"/>
        <v/>
      </c>
      <c r="W99" s="1016"/>
      <c r="X99" s="1016"/>
      <c r="Y99" s="1016"/>
      <c r="Z99" s="1016"/>
      <c r="AA99" s="1016"/>
      <c r="AB99" s="1016"/>
      <c r="AC99" s="1016"/>
      <c r="AD99" s="1016"/>
      <c r="AE99" s="1016"/>
      <c r="AF99" s="1016"/>
      <c r="AG99" s="1016"/>
      <c r="AH99" s="1016"/>
      <c r="AI99" s="1016"/>
      <c r="AJ99" s="1016"/>
      <c r="AK99" s="1016"/>
      <c r="AL99" s="1016"/>
      <c r="AM99" s="1016"/>
      <c r="AN99" s="1016"/>
      <c r="AO99" s="1016"/>
      <c r="AP99" s="1016"/>
      <c r="AQ99" s="1016"/>
      <c r="AR99" s="1016"/>
      <c r="AS99" s="1016"/>
      <c r="AT99" s="1016"/>
      <c r="AU99" s="1016"/>
      <c r="AV99" s="1016"/>
      <c r="AW99" s="1016"/>
    </row>
    <row r="100" spans="2:49" x14ac:dyDescent="0.2">
      <c r="B100" s="1029"/>
      <c r="C100" s="1030"/>
      <c r="D100" s="1029"/>
      <c r="E100" s="1032"/>
      <c r="F100" s="1032"/>
      <c r="G100" s="1020"/>
      <c r="H100" s="1659"/>
      <c r="I100" s="1659"/>
      <c r="J100" s="1077" t="str">
        <f t="shared" si="6"/>
        <v/>
      </c>
      <c r="K100" s="1659"/>
      <c r="L100" s="1659"/>
      <c r="M100" s="1078" t="str">
        <f t="shared" si="7"/>
        <v/>
      </c>
      <c r="N100" s="1659"/>
      <c r="O100" s="1659"/>
      <c r="P100" s="1078" t="str">
        <f t="shared" si="8"/>
        <v/>
      </c>
      <c r="Q100" s="1659"/>
      <c r="R100" s="1659"/>
      <c r="S100" s="1078" t="str">
        <f t="shared" si="9"/>
        <v/>
      </c>
      <c r="T100" s="1661"/>
      <c r="U100" s="1659"/>
      <c r="V100" s="1078" t="str">
        <f t="shared" si="10"/>
        <v/>
      </c>
      <c r="W100" s="1016"/>
      <c r="X100" s="1016"/>
      <c r="Y100" s="1016"/>
      <c r="Z100" s="1016"/>
      <c r="AA100" s="1016"/>
      <c r="AB100" s="1016"/>
      <c r="AC100" s="1016"/>
      <c r="AD100" s="1016"/>
      <c r="AE100" s="1016"/>
      <c r="AF100" s="1016"/>
      <c r="AG100" s="1016"/>
      <c r="AH100" s="1016"/>
      <c r="AI100" s="1016"/>
      <c r="AJ100" s="1016"/>
      <c r="AK100" s="1016"/>
      <c r="AL100" s="1016"/>
      <c r="AM100" s="1016"/>
      <c r="AN100" s="1016"/>
      <c r="AO100" s="1016"/>
      <c r="AP100" s="1016"/>
      <c r="AQ100" s="1016"/>
      <c r="AR100" s="1016"/>
      <c r="AS100" s="1016"/>
      <c r="AT100" s="1016"/>
      <c r="AU100" s="1016"/>
      <c r="AV100" s="1016"/>
      <c r="AW100" s="1016"/>
    </row>
    <row r="101" spans="2:49" x14ac:dyDescent="0.2">
      <c r="B101" s="1029"/>
      <c r="C101" s="1030"/>
      <c r="D101" s="1029"/>
      <c r="E101" s="1032"/>
      <c r="F101" s="1032"/>
      <c r="G101" s="1020"/>
      <c r="H101" s="1659"/>
      <c r="I101" s="1659"/>
      <c r="J101" s="1077" t="str">
        <f t="shared" si="6"/>
        <v/>
      </c>
      <c r="K101" s="1659"/>
      <c r="L101" s="1659"/>
      <c r="M101" s="1078" t="str">
        <f t="shared" si="7"/>
        <v/>
      </c>
      <c r="N101" s="1659"/>
      <c r="O101" s="1659"/>
      <c r="P101" s="1078" t="str">
        <f t="shared" si="8"/>
        <v/>
      </c>
      <c r="Q101" s="1659"/>
      <c r="R101" s="1659"/>
      <c r="S101" s="1078" t="str">
        <f t="shared" si="9"/>
        <v/>
      </c>
      <c r="T101" s="1661"/>
      <c r="U101" s="1659"/>
      <c r="V101" s="1078" t="str">
        <f t="shared" si="10"/>
        <v/>
      </c>
      <c r="W101" s="1016"/>
      <c r="X101" s="1016"/>
      <c r="Y101" s="1016"/>
      <c r="Z101" s="1016"/>
      <c r="AA101" s="1016"/>
      <c r="AB101" s="1016"/>
      <c r="AC101" s="1016"/>
      <c r="AD101" s="1016"/>
      <c r="AE101" s="1016"/>
      <c r="AF101" s="1016"/>
      <c r="AG101" s="1016"/>
      <c r="AH101" s="1016"/>
      <c r="AI101" s="1016"/>
      <c r="AJ101" s="1016"/>
      <c r="AK101" s="1016"/>
      <c r="AL101" s="1016"/>
      <c r="AM101" s="1016"/>
      <c r="AN101" s="1016"/>
      <c r="AO101" s="1016"/>
      <c r="AP101" s="1016"/>
      <c r="AQ101" s="1016"/>
      <c r="AR101" s="1016"/>
      <c r="AS101" s="1016"/>
      <c r="AT101" s="1016"/>
      <c r="AU101" s="1016"/>
      <c r="AV101" s="1016"/>
      <c r="AW101" s="1016"/>
    </row>
    <row r="102" spans="2:49" x14ac:dyDescent="0.2">
      <c r="B102" s="1029"/>
      <c r="C102" s="1030"/>
      <c r="D102" s="1029"/>
      <c r="E102" s="1032"/>
      <c r="F102" s="1032"/>
      <c r="G102" s="1020"/>
      <c r="H102" s="1659"/>
      <c r="I102" s="1659"/>
      <c r="J102" s="1077" t="str">
        <f t="shared" si="6"/>
        <v/>
      </c>
      <c r="K102" s="1659"/>
      <c r="L102" s="1659"/>
      <c r="M102" s="1078" t="str">
        <f t="shared" si="7"/>
        <v/>
      </c>
      <c r="N102" s="1659"/>
      <c r="O102" s="1659"/>
      <c r="P102" s="1078" t="str">
        <f t="shared" si="8"/>
        <v/>
      </c>
      <c r="Q102" s="1659"/>
      <c r="R102" s="1659"/>
      <c r="S102" s="1078" t="str">
        <f t="shared" si="9"/>
        <v/>
      </c>
      <c r="T102" s="1661"/>
      <c r="U102" s="1659"/>
      <c r="V102" s="1078" t="str">
        <f t="shared" si="10"/>
        <v/>
      </c>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row>
    <row r="103" spans="2:49" x14ac:dyDescent="0.2">
      <c r="B103" s="1029"/>
      <c r="C103" s="1030"/>
      <c r="D103" s="1029"/>
      <c r="E103" s="1032"/>
      <c r="F103" s="1032"/>
      <c r="G103" s="1020"/>
      <c r="H103" s="1659"/>
      <c r="I103" s="1659"/>
      <c r="J103" s="1077" t="str">
        <f t="shared" si="6"/>
        <v/>
      </c>
      <c r="K103" s="1659"/>
      <c r="L103" s="1659"/>
      <c r="M103" s="1078" t="str">
        <f t="shared" si="7"/>
        <v/>
      </c>
      <c r="N103" s="1659"/>
      <c r="O103" s="1659"/>
      <c r="P103" s="1078" t="str">
        <f t="shared" si="8"/>
        <v/>
      </c>
      <c r="Q103" s="1659"/>
      <c r="R103" s="1659"/>
      <c r="S103" s="1078" t="str">
        <f t="shared" si="9"/>
        <v/>
      </c>
      <c r="T103" s="1661"/>
      <c r="U103" s="1659"/>
      <c r="V103" s="1078" t="str">
        <f t="shared" si="10"/>
        <v/>
      </c>
      <c r="W103" s="1016"/>
      <c r="X103" s="1016"/>
      <c r="Y103" s="1016"/>
      <c r="Z103" s="1016"/>
      <c r="AA103" s="1016"/>
      <c r="AB103" s="1016"/>
      <c r="AC103" s="1016"/>
      <c r="AD103" s="1016"/>
      <c r="AE103" s="1016"/>
      <c r="AF103" s="1016"/>
      <c r="AG103" s="1016"/>
      <c r="AH103" s="1016"/>
      <c r="AI103" s="1016"/>
      <c r="AJ103" s="1016"/>
      <c r="AK103" s="1016"/>
      <c r="AL103" s="1016"/>
      <c r="AM103" s="1016"/>
      <c r="AN103" s="1016"/>
      <c r="AO103" s="1016"/>
      <c r="AP103" s="1016"/>
      <c r="AQ103" s="1016"/>
      <c r="AR103" s="1016"/>
      <c r="AS103" s="1016"/>
      <c r="AT103" s="1016"/>
      <c r="AU103" s="1016"/>
      <c r="AV103" s="1016"/>
      <c r="AW103" s="1016"/>
    </row>
    <row r="104" spans="2:49" x14ac:dyDescent="0.2">
      <c r="B104" s="1029"/>
      <c r="C104" s="1030"/>
      <c r="D104" s="1029"/>
      <c r="E104" s="1032"/>
      <c r="F104" s="1032"/>
      <c r="G104" s="1020"/>
      <c r="H104" s="1659"/>
      <c r="I104" s="1659"/>
      <c r="J104" s="1077" t="str">
        <f t="shared" si="6"/>
        <v/>
      </c>
      <c r="K104" s="1659"/>
      <c r="L104" s="1659"/>
      <c r="M104" s="1078" t="str">
        <f t="shared" si="7"/>
        <v/>
      </c>
      <c r="N104" s="1659"/>
      <c r="O104" s="1659"/>
      <c r="P104" s="1078" t="str">
        <f t="shared" si="8"/>
        <v/>
      </c>
      <c r="Q104" s="1659"/>
      <c r="R104" s="1659"/>
      <c r="S104" s="1078" t="str">
        <f t="shared" si="9"/>
        <v/>
      </c>
      <c r="T104" s="1661"/>
      <c r="U104" s="1659"/>
      <c r="V104" s="1078" t="str">
        <f t="shared" si="10"/>
        <v/>
      </c>
      <c r="W104" s="1016"/>
      <c r="X104" s="1016"/>
      <c r="Y104" s="1016"/>
      <c r="Z104" s="1016"/>
      <c r="AA104" s="1016"/>
      <c r="AB104" s="1016"/>
      <c r="AC104" s="1016"/>
      <c r="AD104" s="1016"/>
      <c r="AE104" s="1016"/>
      <c r="AF104" s="1016"/>
      <c r="AG104" s="1016"/>
      <c r="AH104" s="1016"/>
      <c r="AI104" s="1016"/>
      <c r="AJ104" s="1016"/>
      <c r="AK104" s="1016"/>
      <c r="AL104" s="1016"/>
      <c r="AM104" s="1016"/>
      <c r="AN104" s="1016"/>
      <c r="AO104" s="1016"/>
      <c r="AP104" s="1016"/>
      <c r="AQ104" s="1016"/>
      <c r="AR104" s="1016"/>
      <c r="AS104" s="1016"/>
      <c r="AT104" s="1016"/>
      <c r="AU104" s="1016"/>
      <c r="AV104" s="1016"/>
      <c r="AW104" s="1016"/>
    </row>
    <row r="105" spans="2:49" x14ac:dyDescent="0.2">
      <c r="B105" s="1029"/>
      <c r="C105" s="1030"/>
      <c r="D105" s="1029"/>
      <c r="E105" s="1032"/>
      <c r="F105" s="1032"/>
      <c r="G105" s="1020"/>
      <c r="H105" s="1659"/>
      <c r="I105" s="1659"/>
      <c r="J105" s="1077" t="str">
        <f t="shared" si="6"/>
        <v/>
      </c>
      <c r="K105" s="1659"/>
      <c r="L105" s="1659"/>
      <c r="M105" s="1078" t="str">
        <f t="shared" si="7"/>
        <v/>
      </c>
      <c r="N105" s="1659"/>
      <c r="O105" s="1659"/>
      <c r="P105" s="1078" t="str">
        <f t="shared" si="8"/>
        <v/>
      </c>
      <c r="Q105" s="1659"/>
      <c r="R105" s="1659"/>
      <c r="S105" s="1078" t="str">
        <f t="shared" si="9"/>
        <v/>
      </c>
      <c r="T105" s="1661"/>
      <c r="U105" s="1659"/>
      <c r="V105" s="1078" t="str">
        <f t="shared" si="10"/>
        <v/>
      </c>
      <c r="W105" s="1016"/>
      <c r="X105" s="1016"/>
      <c r="Y105" s="1016"/>
      <c r="Z105" s="1016"/>
      <c r="AA105" s="1016"/>
      <c r="AB105" s="1016"/>
      <c r="AC105" s="1016"/>
      <c r="AD105" s="1016"/>
      <c r="AE105" s="1016"/>
      <c r="AF105" s="1016"/>
      <c r="AG105" s="1016"/>
      <c r="AH105" s="1016"/>
      <c r="AI105" s="1016"/>
      <c r="AJ105" s="1016"/>
      <c r="AK105" s="1016"/>
      <c r="AL105" s="1016"/>
      <c r="AM105" s="1016"/>
      <c r="AN105" s="1016"/>
      <c r="AO105" s="1016"/>
      <c r="AP105" s="1016"/>
      <c r="AQ105" s="1016"/>
      <c r="AR105" s="1016"/>
      <c r="AS105" s="1016"/>
      <c r="AT105" s="1016"/>
      <c r="AU105" s="1016"/>
      <c r="AV105" s="1016"/>
      <c r="AW105" s="1016"/>
    </row>
    <row r="106" spans="2:49" x14ac:dyDescent="0.2">
      <c r="B106" s="1029"/>
      <c r="C106" s="1030"/>
      <c r="D106" s="1029"/>
      <c r="E106" s="1032"/>
      <c r="F106" s="1032"/>
      <c r="G106" s="1020"/>
      <c r="H106" s="1659"/>
      <c r="I106" s="1659"/>
      <c r="J106" s="1077" t="str">
        <f t="shared" si="6"/>
        <v/>
      </c>
      <c r="K106" s="1659"/>
      <c r="L106" s="1659"/>
      <c r="M106" s="1078" t="str">
        <f t="shared" si="7"/>
        <v/>
      </c>
      <c r="N106" s="1659"/>
      <c r="O106" s="1659"/>
      <c r="P106" s="1078" t="str">
        <f t="shared" si="8"/>
        <v/>
      </c>
      <c r="Q106" s="1659"/>
      <c r="R106" s="1659"/>
      <c r="S106" s="1078" t="str">
        <f t="shared" si="9"/>
        <v/>
      </c>
      <c r="T106" s="1661"/>
      <c r="U106" s="1659"/>
      <c r="V106" s="1078" t="str">
        <f t="shared" si="10"/>
        <v/>
      </c>
      <c r="W106" s="1016"/>
      <c r="X106" s="1016"/>
      <c r="Y106" s="1016"/>
      <c r="Z106" s="1016"/>
      <c r="AA106" s="1016"/>
      <c r="AB106" s="1016"/>
      <c r="AC106" s="1016"/>
      <c r="AD106" s="1016"/>
      <c r="AE106" s="1016"/>
      <c r="AF106" s="1016"/>
      <c r="AG106" s="1016"/>
      <c r="AH106" s="1016"/>
      <c r="AI106" s="1016"/>
      <c r="AJ106" s="1016"/>
      <c r="AK106" s="1016"/>
      <c r="AL106" s="1016"/>
      <c r="AM106" s="1016"/>
      <c r="AN106" s="1016"/>
      <c r="AO106" s="1016"/>
      <c r="AP106" s="1016"/>
      <c r="AQ106" s="1016"/>
      <c r="AR106" s="1016"/>
      <c r="AS106" s="1016"/>
      <c r="AT106" s="1016"/>
      <c r="AU106" s="1016"/>
      <c r="AV106" s="1016"/>
      <c r="AW106" s="1016"/>
    </row>
    <row r="107" spans="2:49" x14ac:dyDescent="0.2">
      <c r="B107" s="1029"/>
      <c r="C107" s="1030"/>
      <c r="D107" s="1029"/>
      <c r="E107" s="1032"/>
      <c r="F107" s="1032"/>
      <c r="G107" s="1020"/>
      <c r="H107" s="1659"/>
      <c r="I107" s="1659"/>
      <c r="J107" s="1077" t="str">
        <f t="shared" si="6"/>
        <v/>
      </c>
      <c r="K107" s="1659"/>
      <c r="L107" s="1659"/>
      <c r="M107" s="1078" t="str">
        <f t="shared" si="7"/>
        <v/>
      </c>
      <c r="N107" s="1659"/>
      <c r="O107" s="1659"/>
      <c r="P107" s="1078" t="str">
        <f t="shared" si="8"/>
        <v/>
      </c>
      <c r="Q107" s="1659"/>
      <c r="R107" s="1659"/>
      <c r="S107" s="1078" t="str">
        <f t="shared" si="9"/>
        <v/>
      </c>
      <c r="T107" s="1661"/>
      <c r="U107" s="1659"/>
      <c r="V107" s="1078" t="str">
        <f t="shared" si="10"/>
        <v/>
      </c>
      <c r="W107" s="1016"/>
      <c r="X107" s="1016"/>
      <c r="Y107" s="1016"/>
      <c r="Z107" s="1016"/>
      <c r="AA107" s="1016"/>
      <c r="AB107" s="1016"/>
      <c r="AC107" s="1016"/>
      <c r="AD107" s="1016"/>
      <c r="AE107" s="1016"/>
      <c r="AF107" s="1016"/>
      <c r="AG107" s="1016"/>
      <c r="AH107" s="1016"/>
      <c r="AI107" s="1016"/>
      <c r="AJ107" s="1016"/>
      <c r="AK107" s="1016"/>
      <c r="AL107" s="1016"/>
      <c r="AM107" s="1016"/>
      <c r="AN107" s="1016"/>
      <c r="AO107" s="1016"/>
      <c r="AP107" s="1016"/>
      <c r="AQ107" s="1016"/>
      <c r="AR107" s="1016"/>
      <c r="AS107" s="1016"/>
      <c r="AT107" s="1016"/>
      <c r="AU107" s="1016"/>
      <c r="AV107" s="1016"/>
      <c r="AW107" s="1016"/>
    </row>
    <row r="108" spans="2:49" x14ac:dyDescent="0.2">
      <c r="B108" s="1029"/>
      <c r="C108" s="1030"/>
      <c r="D108" s="1029"/>
      <c r="E108" s="1032"/>
      <c r="F108" s="1032"/>
      <c r="G108" s="1020"/>
      <c r="H108" s="1659"/>
      <c r="I108" s="1659"/>
      <c r="J108" s="1077" t="str">
        <f t="shared" si="6"/>
        <v/>
      </c>
      <c r="K108" s="1659"/>
      <c r="L108" s="1659"/>
      <c r="M108" s="1078" t="str">
        <f t="shared" si="7"/>
        <v/>
      </c>
      <c r="N108" s="1659"/>
      <c r="O108" s="1659"/>
      <c r="P108" s="1078" t="str">
        <f t="shared" si="8"/>
        <v/>
      </c>
      <c r="Q108" s="1659"/>
      <c r="R108" s="1659"/>
      <c r="S108" s="1078" t="str">
        <f t="shared" si="9"/>
        <v/>
      </c>
      <c r="T108" s="1661"/>
      <c r="U108" s="1659"/>
      <c r="V108" s="1078" t="str">
        <f t="shared" si="10"/>
        <v/>
      </c>
      <c r="W108" s="1016"/>
      <c r="X108" s="1016"/>
      <c r="Y108" s="1016"/>
      <c r="Z108" s="1016"/>
      <c r="AA108" s="1016"/>
      <c r="AB108" s="1016"/>
      <c r="AC108" s="1016"/>
      <c r="AD108" s="1016"/>
      <c r="AE108" s="1016"/>
      <c r="AF108" s="1016"/>
      <c r="AG108" s="1016"/>
      <c r="AH108" s="1016"/>
      <c r="AI108" s="1016"/>
      <c r="AJ108" s="1016"/>
      <c r="AK108" s="1016"/>
      <c r="AL108" s="1016"/>
      <c r="AM108" s="1016"/>
      <c r="AN108" s="1016"/>
      <c r="AO108" s="1016"/>
      <c r="AP108" s="1016"/>
      <c r="AQ108" s="1016"/>
      <c r="AR108" s="1016"/>
      <c r="AS108" s="1016"/>
      <c r="AT108" s="1016"/>
      <c r="AU108" s="1016"/>
      <c r="AV108" s="1016"/>
      <c r="AW108" s="1016"/>
    </row>
    <row r="109" spans="2:49" x14ac:dyDescent="0.2">
      <c r="B109" s="1029"/>
      <c r="C109" s="1030"/>
      <c r="D109" s="1029"/>
      <c r="E109" s="1032"/>
      <c r="F109" s="1032"/>
      <c r="G109" s="1020"/>
      <c r="H109" s="1659"/>
      <c r="I109" s="1659"/>
      <c r="J109" s="1077" t="str">
        <f t="shared" si="6"/>
        <v/>
      </c>
      <c r="K109" s="1659"/>
      <c r="L109" s="1659"/>
      <c r="M109" s="1078" t="str">
        <f t="shared" si="7"/>
        <v/>
      </c>
      <c r="N109" s="1659"/>
      <c r="O109" s="1659"/>
      <c r="P109" s="1078" t="str">
        <f t="shared" si="8"/>
        <v/>
      </c>
      <c r="Q109" s="1659"/>
      <c r="R109" s="1659"/>
      <c r="S109" s="1078" t="str">
        <f t="shared" si="9"/>
        <v/>
      </c>
      <c r="T109" s="1661"/>
      <c r="U109" s="1659"/>
      <c r="V109" s="1078" t="str">
        <f t="shared" si="10"/>
        <v/>
      </c>
      <c r="W109" s="1016"/>
      <c r="X109" s="1016"/>
      <c r="Y109" s="1016"/>
      <c r="Z109" s="1016"/>
      <c r="AA109" s="1016"/>
      <c r="AB109" s="1016"/>
      <c r="AC109" s="1016"/>
      <c r="AD109" s="1016"/>
      <c r="AE109" s="1016"/>
      <c r="AF109" s="1016"/>
      <c r="AG109" s="1016"/>
      <c r="AH109" s="1016"/>
      <c r="AI109" s="1016"/>
      <c r="AJ109" s="1016"/>
      <c r="AK109" s="1016"/>
      <c r="AL109" s="1016"/>
      <c r="AM109" s="1016"/>
      <c r="AN109" s="1016"/>
      <c r="AO109" s="1016"/>
      <c r="AP109" s="1016"/>
      <c r="AQ109" s="1016"/>
      <c r="AR109" s="1016"/>
      <c r="AS109" s="1016"/>
      <c r="AT109" s="1016"/>
      <c r="AU109" s="1016"/>
      <c r="AV109" s="1016"/>
      <c r="AW109" s="1016"/>
    </row>
    <row r="110" spans="2:49" x14ac:dyDescent="0.2">
      <c r="B110" s="1029"/>
      <c r="C110" s="1030"/>
      <c r="D110" s="1029"/>
      <c r="E110" s="1032"/>
      <c r="F110" s="1032"/>
      <c r="G110" s="1020"/>
      <c r="H110" s="1659"/>
      <c r="I110" s="1659"/>
      <c r="J110" s="1077" t="str">
        <f t="shared" si="6"/>
        <v/>
      </c>
      <c r="K110" s="1659"/>
      <c r="L110" s="1659"/>
      <c r="M110" s="1078" t="str">
        <f t="shared" si="7"/>
        <v/>
      </c>
      <c r="N110" s="1659"/>
      <c r="O110" s="1659"/>
      <c r="P110" s="1078" t="str">
        <f t="shared" si="8"/>
        <v/>
      </c>
      <c r="Q110" s="1659"/>
      <c r="R110" s="1659"/>
      <c r="S110" s="1078" t="str">
        <f t="shared" si="9"/>
        <v/>
      </c>
      <c r="T110" s="1661"/>
      <c r="U110" s="1659"/>
      <c r="V110" s="1078" t="str">
        <f t="shared" si="10"/>
        <v/>
      </c>
      <c r="W110" s="1016"/>
      <c r="X110" s="1016"/>
      <c r="Y110" s="1016"/>
      <c r="Z110" s="1016"/>
      <c r="AA110" s="1016"/>
      <c r="AB110" s="1016"/>
      <c r="AC110" s="1016"/>
      <c r="AD110" s="1016"/>
      <c r="AE110" s="1016"/>
      <c r="AF110" s="1016"/>
      <c r="AG110" s="1016"/>
      <c r="AH110" s="1016"/>
      <c r="AI110" s="1016"/>
      <c r="AJ110" s="1016"/>
      <c r="AK110" s="1016"/>
      <c r="AL110" s="1016"/>
      <c r="AM110" s="1016"/>
      <c r="AN110" s="1016"/>
      <c r="AO110" s="1016"/>
      <c r="AP110" s="1016"/>
      <c r="AQ110" s="1016"/>
      <c r="AR110" s="1016"/>
      <c r="AS110" s="1016"/>
      <c r="AT110" s="1016"/>
      <c r="AU110" s="1016"/>
      <c r="AV110" s="1016"/>
      <c r="AW110" s="1016"/>
    </row>
    <row r="111" spans="2:49" x14ac:dyDescent="0.2">
      <c r="B111" s="1029"/>
      <c r="C111" s="1030"/>
      <c r="D111" s="1029"/>
      <c r="E111" s="1032"/>
      <c r="F111" s="1032"/>
      <c r="G111" s="1020"/>
      <c r="H111" s="1659"/>
      <c r="I111" s="1659"/>
      <c r="J111" s="1077" t="str">
        <f t="shared" si="6"/>
        <v/>
      </c>
      <c r="K111" s="1659"/>
      <c r="L111" s="1659"/>
      <c r="M111" s="1078" t="str">
        <f t="shared" si="7"/>
        <v/>
      </c>
      <c r="N111" s="1659"/>
      <c r="O111" s="1659"/>
      <c r="P111" s="1078" t="str">
        <f t="shared" si="8"/>
        <v/>
      </c>
      <c r="Q111" s="1659"/>
      <c r="R111" s="1659"/>
      <c r="S111" s="1078" t="str">
        <f t="shared" si="9"/>
        <v/>
      </c>
      <c r="T111" s="1661"/>
      <c r="U111" s="1659"/>
      <c r="V111" s="1078" t="str">
        <f t="shared" si="10"/>
        <v/>
      </c>
      <c r="W111" s="1016"/>
      <c r="X111" s="1016"/>
      <c r="Y111" s="1016"/>
      <c r="Z111" s="1016"/>
      <c r="AA111" s="1016"/>
      <c r="AB111" s="1016"/>
      <c r="AC111" s="1016"/>
      <c r="AD111" s="1016"/>
      <c r="AE111" s="1016"/>
      <c r="AF111" s="1016"/>
      <c r="AG111" s="1016"/>
      <c r="AH111" s="1016"/>
      <c r="AI111" s="1016"/>
      <c r="AJ111" s="1016"/>
      <c r="AK111" s="1016"/>
      <c r="AL111" s="1016"/>
      <c r="AM111" s="1016"/>
      <c r="AN111" s="1016"/>
      <c r="AO111" s="1016"/>
      <c r="AP111" s="1016"/>
      <c r="AQ111" s="1016"/>
      <c r="AR111" s="1016"/>
      <c r="AS111" s="1016"/>
      <c r="AT111" s="1016"/>
      <c r="AU111" s="1016"/>
      <c r="AV111" s="1016"/>
      <c r="AW111" s="1016"/>
    </row>
    <row r="112" spans="2:49" x14ac:dyDescent="0.2">
      <c r="B112" s="1029"/>
      <c r="C112" s="1030"/>
      <c r="D112" s="1029"/>
      <c r="E112" s="1032"/>
      <c r="F112" s="1032"/>
      <c r="G112" s="1020"/>
      <c r="H112" s="1659"/>
      <c r="I112" s="1659"/>
      <c r="J112" s="1077" t="str">
        <f t="shared" si="6"/>
        <v/>
      </c>
      <c r="K112" s="1659"/>
      <c r="L112" s="1659"/>
      <c r="M112" s="1078" t="str">
        <f t="shared" si="7"/>
        <v/>
      </c>
      <c r="N112" s="1659"/>
      <c r="O112" s="1659"/>
      <c r="P112" s="1078" t="str">
        <f t="shared" si="8"/>
        <v/>
      </c>
      <c r="Q112" s="1659"/>
      <c r="R112" s="1659"/>
      <c r="S112" s="1078" t="str">
        <f t="shared" si="9"/>
        <v/>
      </c>
      <c r="T112" s="1661"/>
      <c r="U112" s="1659"/>
      <c r="V112" s="1078" t="str">
        <f t="shared" si="10"/>
        <v/>
      </c>
      <c r="W112" s="1016"/>
      <c r="X112" s="1016"/>
      <c r="Y112" s="1016"/>
      <c r="Z112" s="1016"/>
      <c r="AA112" s="1016"/>
      <c r="AB112" s="1016"/>
      <c r="AC112" s="1016"/>
      <c r="AD112" s="1016"/>
      <c r="AE112" s="1016"/>
      <c r="AF112" s="1016"/>
      <c r="AG112" s="1016"/>
      <c r="AH112" s="1016"/>
      <c r="AI112" s="1016"/>
      <c r="AJ112" s="1016"/>
      <c r="AK112" s="1016"/>
      <c r="AL112" s="1016"/>
      <c r="AM112" s="1016"/>
      <c r="AN112" s="1016"/>
      <c r="AO112" s="1016"/>
      <c r="AP112" s="1016"/>
      <c r="AQ112" s="1016"/>
      <c r="AR112" s="1016"/>
      <c r="AS112" s="1016"/>
      <c r="AT112" s="1016"/>
      <c r="AU112" s="1016"/>
      <c r="AV112" s="1016"/>
      <c r="AW112" s="1016"/>
    </row>
    <row r="113" spans="2:49" x14ac:dyDescent="0.2">
      <c r="B113" s="1029"/>
      <c r="C113" s="1030"/>
      <c r="D113" s="1029"/>
      <c r="E113" s="1032"/>
      <c r="F113" s="1032"/>
      <c r="G113" s="1020"/>
      <c r="H113" s="1659"/>
      <c r="I113" s="1659"/>
      <c r="J113" s="1077" t="str">
        <f t="shared" si="6"/>
        <v/>
      </c>
      <c r="K113" s="1659"/>
      <c r="L113" s="1659"/>
      <c r="M113" s="1078" t="str">
        <f t="shared" si="7"/>
        <v/>
      </c>
      <c r="N113" s="1659"/>
      <c r="O113" s="1659"/>
      <c r="P113" s="1078" t="str">
        <f t="shared" si="8"/>
        <v/>
      </c>
      <c r="Q113" s="1659"/>
      <c r="R113" s="1659"/>
      <c r="S113" s="1078" t="str">
        <f t="shared" si="9"/>
        <v/>
      </c>
      <c r="T113" s="1661"/>
      <c r="U113" s="1659"/>
      <c r="V113" s="1078" t="str">
        <f t="shared" si="10"/>
        <v/>
      </c>
      <c r="W113" s="1016"/>
      <c r="X113" s="1016"/>
      <c r="Y113" s="1016"/>
      <c r="Z113" s="1016"/>
      <c r="AA113" s="1016"/>
      <c r="AB113" s="1016"/>
      <c r="AC113" s="1016"/>
      <c r="AD113" s="1016"/>
      <c r="AE113" s="1016"/>
      <c r="AF113" s="1016"/>
      <c r="AG113" s="1016"/>
      <c r="AH113" s="1016"/>
      <c r="AI113" s="1016"/>
      <c r="AJ113" s="1016"/>
      <c r="AK113" s="1016"/>
      <c r="AL113" s="1016"/>
      <c r="AM113" s="1016"/>
      <c r="AN113" s="1016"/>
      <c r="AO113" s="1016"/>
      <c r="AP113" s="1016"/>
      <c r="AQ113" s="1016"/>
      <c r="AR113" s="1016"/>
      <c r="AS113" s="1016"/>
      <c r="AT113" s="1016"/>
      <c r="AU113" s="1016"/>
      <c r="AV113" s="1016"/>
      <c r="AW113" s="1016"/>
    </row>
    <row r="114" spans="2:49" x14ac:dyDescent="0.2">
      <c r="B114" s="1029"/>
      <c r="C114" s="1030"/>
      <c r="D114" s="1029"/>
      <c r="E114" s="1032"/>
      <c r="F114" s="1032"/>
      <c r="G114" s="1020"/>
      <c r="H114" s="1659"/>
      <c r="I114" s="1659"/>
      <c r="J114" s="1077" t="str">
        <f t="shared" si="6"/>
        <v/>
      </c>
      <c r="K114" s="1659"/>
      <c r="L114" s="1659"/>
      <c r="M114" s="1078" t="str">
        <f t="shared" si="7"/>
        <v/>
      </c>
      <c r="N114" s="1659"/>
      <c r="O114" s="1659"/>
      <c r="P114" s="1078" t="str">
        <f t="shared" si="8"/>
        <v/>
      </c>
      <c r="Q114" s="1659"/>
      <c r="R114" s="1659"/>
      <c r="S114" s="1078" t="str">
        <f t="shared" si="9"/>
        <v/>
      </c>
      <c r="T114" s="1661"/>
      <c r="U114" s="1659"/>
      <c r="V114" s="1078" t="str">
        <f t="shared" si="10"/>
        <v/>
      </c>
      <c r="W114" s="1016"/>
      <c r="X114" s="1016"/>
      <c r="Y114" s="1016"/>
      <c r="Z114" s="1016"/>
      <c r="AA114" s="1016"/>
      <c r="AB114" s="1016"/>
      <c r="AC114" s="1016"/>
      <c r="AD114" s="1016"/>
      <c r="AE114" s="1016"/>
      <c r="AF114" s="1016"/>
      <c r="AG114" s="1016"/>
      <c r="AH114" s="1016"/>
      <c r="AI114" s="1016"/>
      <c r="AJ114" s="1016"/>
      <c r="AK114" s="1016"/>
      <c r="AL114" s="1016"/>
      <c r="AM114" s="1016"/>
      <c r="AN114" s="1016"/>
      <c r="AO114" s="1016"/>
      <c r="AP114" s="1016"/>
      <c r="AQ114" s="1016"/>
      <c r="AR114" s="1016"/>
      <c r="AS114" s="1016"/>
      <c r="AT114" s="1016"/>
      <c r="AU114" s="1016"/>
      <c r="AV114" s="1016"/>
      <c r="AW114" s="1016"/>
    </row>
    <row r="115" spans="2:49" x14ac:dyDescent="0.2">
      <c r="B115" s="1029"/>
      <c r="C115" s="1030"/>
      <c r="D115" s="1029"/>
      <c r="E115" s="1032"/>
      <c r="F115" s="1032"/>
      <c r="G115" s="1020"/>
      <c r="H115" s="1659"/>
      <c r="I115" s="1659"/>
      <c r="J115" s="1077" t="str">
        <f t="shared" si="6"/>
        <v/>
      </c>
      <c r="K115" s="1659"/>
      <c r="L115" s="1659"/>
      <c r="M115" s="1078" t="str">
        <f t="shared" si="7"/>
        <v/>
      </c>
      <c r="N115" s="1659"/>
      <c r="O115" s="1659"/>
      <c r="P115" s="1078" t="str">
        <f t="shared" si="8"/>
        <v/>
      </c>
      <c r="Q115" s="1659"/>
      <c r="R115" s="1659"/>
      <c r="S115" s="1078" t="str">
        <f t="shared" si="9"/>
        <v/>
      </c>
      <c r="T115" s="1661"/>
      <c r="U115" s="1659"/>
      <c r="V115" s="1078" t="str">
        <f t="shared" si="10"/>
        <v/>
      </c>
      <c r="W115" s="1016"/>
      <c r="X115" s="1016"/>
      <c r="Y115" s="1016"/>
      <c r="Z115" s="1016"/>
      <c r="AA115" s="1016"/>
      <c r="AB115" s="1016"/>
      <c r="AC115" s="1016"/>
      <c r="AD115" s="1016"/>
      <c r="AE115" s="1016"/>
      <c r="AF115" s="1016"/>
      <c r="AG115" s="1016"/>
      <c r="AH115" s="1016"/>
      <c r="AI115" s="1016"/>
      <c r="AJ115" s="1016"/>
      <c r="AK115" s="1016"/>
      <c r="AL115" s="1016"/>
      <c r="AM115" s="1016"/>
      <c r="AN115" s="1016"/>
      <c r="AO115" s="1016"/>
      <c r="AP115" s="1016"/>
      <c r="AQ115" s="1016"/>
      <c r="AR115" s="1016"/>
      <c r="AS115" s="1016"/>
      <c r="AT115" s="1016"/>
      <c r="AU115" s="1016"/>
      <c r="AV115" s="1016"/>
      <c r="AW115" s="1016"/>
    </row>
    <row r="116" spans="2:49" x14ac:dyDescent="0.2">
      <c r="B116" s="1029"/>
      <c r="C116" s="1030"/>
      <c r="D116" s="1029"/>
      <c r="E116" s="1032"/>
      <c r="F116" s="1032"/>
      <c r="G116" s="1020"/>
      <c r="H116" s="1659"/>
      <c r="I116" s="1659"/>
      <c r="J116" s="1077" t="str">
        <f t="shared" si="6"/>
        <v/>
      </c>
      <c r="K116" s="1659"/>
      <c r="L116" s="1659"/>
      <c r="M116" s="1078" t="str">
        <f t="shared" si="7"/>
        <v/>
      </c>
      <c r="N116" s="1659"/>
      <c r="O116" s="1659"/>
      <c r="P116" s="1078" t="str">
        <f t="shared" si="8"/>
        <v/>
      </c>
      <c r="Q116" s="1659"/>
      <c r="R116" s="1659"/>
      <c r="S116" s="1078" t="str">
        <f t="shared" si="9"/>
        <v/>
      </c>
      <c r="T116" s="1661"/>
      <c r="U116" s="1659"/>
      <c r="V116" s="1078" t="str">
        <f t="shared" si="10"/>
        <v/>
      </c>
      <c r="W116" s="1016"/>
      <c r="X116" s="1016"/>
      <c r="Y116" s="1016"/>
      <c r="Z116" s="1016"/>
      <c r="AA116" s="1016"/>
      <c r="AB116" s="1016"/>
      <c r="AC116" s="1016"/>
      <c r="AD116" s="1016"/>
      <c r="AE116" s="1016"/>
      <c r="AF116" s="1016"/>
      <c r="AG116" s="1016"/>
      <c r="AH116" s="1016"/>
      <c r="AI116" s="1016"/>
      <c r="AJ116" s="1016"/>
      <c r="AK116" s="1016"/>
      <c r="AL116" s="1016"/>
      <c r="AM116" s="1016"/>
      <c r="AN116" s="1016"/>
      <c r="AO116" s="1016"/>
      <c r="AP116" s="1016"/>
      <c r="AQ116" s="1016"/>
      <c r="AR116" s="1016"/>
      <c r="AS116" s="1016"/>
      <c r="AT116" s="1016"/>
      <c r="AU116" s="1016"/>
      <c r="AV116" s="1016"/>
      <c r="AW116" s="1016"/>
    </row>
    <row r="117" spans="2:49" x14ac:dyDescent="0.2">
      <c r="B117" s="1029"/>
      <c r="C117" s="1030"/>
      <c r="D117" s="1029"/>
      <c r="E117" s="1032"/>
      <c r="F117" s="1032"/>
      <c r="G117" s="1020"/>
      <c r="H117" s="1659"/>
      <c r="I117" s="1659"/>
      <c r="J117" s="1077" t="str">
        <f t="shared" si="6"/>
        <v/>
      </c>
      <c r="K117" s="1659"/>
      <c r="L117" s="1659"/>
      <c r="M117" s="1078" t="str">
        <f t="shared" si="7"/>
        <v/>
      </c>
      <c r="N117" s="1659"/>
      <c r="O117" s="1659"/>
      <c r="P117" s="1078" t="str">
        <f t="shared" si="8"/>
        <v/>
      </c>
      <c r="Q117" s="1659"/>
      <c r="R117" s="1659"/>
      <c r="S117" s="1078" t="str">
        <f t="shared" si="9"/>
        <v/>
      </c>
      <c r="T117" s="1661"/>
      <c r="U117" s="1659"/>
      <c r="V117" s="1078" t="str">
        <f t="shared" si="10"/>
        <v/>
      </c>
      <c r="W117" s="1016"/>
      <c r="X117" s="1016"/>
      <c r="Y117" s="1016"/>
      <c r="Z117" s="1016"/>
      <c r="AA117" s="1016"/>
      <c r="AB117" s="1016"/>
      <c r="AC117" s="1016"/>
      <c r="AD117" s="1016"/>
      <c r="AE117" s="1016"/>
      <c r="AF117" s="1016"/>
      <c r="AG117" s="1016"/>
      <c r="AH117" s="1016"/>
      <c r="AI117" s="1016"/>
      <c r="AJ117" s="1016"/>
      <c r="AK117" s="1016"/>
      <c r="AL117" s="1016"/>
      <c r="AM117" s="1016"/>
      <c r="AN117" s="1016"/>
      <c r="AO117" s="1016"/>
      <c r="AP117" s="1016"/>
      <c r="AQ117" s="1016"/>
      <c r="AR117" s="1016"/>
      <c r="AS117" s="1016"/>
      <c r="AT117" s="1016"/>
      <c r="AU117" s="1016"/>
      <c r="AV117" s="1016"/>
      <c r="AW117" s="1016"/>
    </row>
    <row r="118" spans="2:49" x14ac:dyDescent="0.2">
      <c r="B118" s="1029"/>
      <c r="C118" s="1030"/>
      <c r="D118" s="1029"/>
      <c r="E118" s="1032"/>
      <c r="F118" s="1032"/>
      <c r="G118" s="1020"/>
      <c r="H118" s="1659"/>
      <c r="I118" s="1659"/>
      <c r="J118" s="1077" t="str">
        <f t="shared" si="6"/>
        <v/>
      </c>
      <c r="K118" s="1659"/>
      <c r="L118" s="1659"/>
      <c r="M118" s="1078" t="str">
        <f t="shared" si="7"/>
        <v/>
      </c>
      <c r="N118" s="1659"/>
      <c r="O118" s="1659"/>
      <c r="P118" s="1078" t="str">
        <f t="shared" si="8"/>
        <v/>
      </c>
      <c r="Q118" s="1659"/>
      <c r="R118" s="1659"/>
      <c r="S118" s="1078" t="str">
        <f t="shared" si="9"/>
        <v/>
      </c>
      <c r="T118" s="1661"/>
      <c r="U118" s="1659"/>
      <c r="V118" s="1078" t="str">
        <f t="shared" si="10"/>
        <v/>
      </c>
      <c r="W118" s="1016"/>
      <c r="X118" s="1016"/>
      <c r="Y118" s="1016"/>
      <c r="Z118" s="1016"/>
      <c r="AA118" s="1016"/>
      <c r="AB118" s="1016"/>
      <c r="AC118" s="1016"/>
      <c r="AD118" s="1016"/>
      <c r="AE118" s="1016"/>
      <c r="AF118" s="1016"/>
      <c r="AG118" s="1016"/>
      <c r="AH118" s="1016"/>
      <c r="AI118" s="1016"/>
      <c r="AJ118" s="1016"/>
      <c r="AK118" s="1016"/>
      <c r="AL118" s="1016"/>
      <c r="AM118" s="1016"/>
      <c r="AN118" s="1016"/>
      <c r="AO118" s="1016"/>
      <c r="AP118" s="1016"/>
      <c r="AQ118" s="1016"/>
      <c r="AR118" s="1016"/>
      <c r="AS118" s="1016"/>
      <c r="AT118" s="1016"/>
      <c r="AU118" s="1016"/>
      <c r="AV118" s="1016"/>
      <c r="AW118" s="1016"/>
    </row>
    <row r="119" spans="2:49" x14ac:dyDescent="0.2">
      <c r="B119" s="1029"/>
      <c r="C119" s="1030"/>
      <c r="D119" s="1029"/>
      <c r="E119" s="1032"/>
      <c r="F119" s="1032"/>
      <c r="G119" s="1020"/>
      <c r="H119" s="1659"/>
      <c r="I119" s="1659"/>
      <c r="J119" s="1077" t="str">
        <f t="shared" si="6"/>
        <v/>
      </c>
      <c r="K119" s="1659"/>
      <c r="L119" s="1659"/>
      <c r="M119" s="1078" t="str">
        <f t="shared" si="7"/>
        <v/>
      </c>
      <c r="N119" s="1659"/>
      <c r="O119" s="1659"/>
      <c r="P119" s="1078" t="str">
        <f t="shared" si="8"/>
        <v/>
      </c>
      <c r="Q119" s="1659"/>
      <c r="R119" s="1659"/>
      <c r="S119" s="1078" t="str">
        <f t="shared" si="9"/>
        <v/>
      </c>
      <c r="T119" s="1661"/>
      <c r="U119" s="1659"/>
      <c r="V119" s="1078" t="str">
        <f t="shared" si="10"/>
        <v/>
      </c>
      <c r="W119" s="1016"/>
      <c r="X119" s="1016"/>
      <c r="Y119" s="1016"/>
      <c r="Z119" s="1016"/>
      <c r="AA119" s="1016"/>
      <c r="AB119" s="1016"/>
      <c r="AC119" s="1016"/>
      <c r="AD119" s="1016"/>
      <c r="AE119" s="1016"/>
      <c r="AF119" s="1016"/>
      <c r="AG119" s="1016"/>
      <c r="AH119" s="1016"/>
      <c r="AI119" s="1016"/>
      <c r="AJ119" s="1016"/>
      <c r="AK119" s="1016"/>
      <c r="AL119" s="1016"/>
      <c r="AM119" s="1016"/>
      <c r="AN119" s="1016"/>
      <c r="AO119" s="1016"/>
      <c r="AP119" s="1016"/>
      <c r="AQ119" s="1016"/>
      <c r="AR119" s="1016"/>
      <c r="AS119" s="1016"/>
      <c r="AT119" s="1016"/>
      <c r="AU119" s="1016"/>
      <c r="AV119" s="1016"/>
      <c r="AW119" s="1016"/>
    </row>
    <row r="120" spans="2:49" x14ac:dyDescent="0.2">
      <c r="B120" s="1029"/>
      <c r="C120" s="1030"/>
      <c r="D120" s="1029"/>
      <c r="E120" s="1032"/>
      <c r="F120" s="1032"/>
      <c r="G120" s="1020"/>
      <c r="H120" s="1659"/>
      <c r="I120" s="1659"/>
      <c r="J120" s="1077" t="str">
        <f t="shared" si="6"/>
        <v/>
      </c>
      <c r="K120" s="1659"/>
      <c r="L120" s="1659"/>
      <c r="M120" s="1078" t="str">
        <f t="shared" si="7"/>
        <v/>
      </c>
      <c r="N120" s="1659"/>
      <c r="O120" s="1659"/>
      <c r="P120" s="1078" t="str">
        <f t="shared" si="8"/>
        <v/>
      </c>
      <c r="Q120" s="1659"/>
      <c r="R120" s="1659"/>
      <c r="S120" s="1078" t="str">
        <f t="shared" si="9"/>
        <v/>
      </c>
      <c r="T120" s="1661"/>
      <c r="U120" s="1659"/>
      <c r="V120" s="1078" t="str">
        <f t="shared" si="10"/>
        <v/>
      </c>
      <c r="W120" s="1016"/>
      <c r="X120" s="1016"/>
      <c r="Y120" s="1016"/>
      <c r="Z120" s="1016"/>
      <c r="AA120" s="1016"/>
      <c r="AB120" s="1016"/>
      <c r="AC120" s="1016"/>
      <c r="AD120" s="1016"/>
      <c r="AE120" s="1016"/>
      <c r="AF120" s="1016"/>
      <c r="AG120" s="1016"/>
      <c r="AH120" s="1016"/>
      <c r="AI120" s="1016"/>
      <c r="AJ120" s="1016"/>
      <c r="AK120" s="1016"/>
      <c r="AL120" s="1016"/>
      <c r="AM120" s="1016"/>
      <c r="AN120" s="1016"/>
      <c r="AO120" s="1016"/>
      <c r="AP120" s="1016"/>
      <c r="AQ120" s="1016"/>
      <c r="AR120" s="1016"/>
      <c r="AS120" s="1016"/>
      <c r="AT120" s="1016"/>
      <c r="AU120" s="1016"/>
      <c r="AV120" s="1016"/>
      <c r="AW120" s="1016"/>
    </row>
    <row r="121" spans="2:49" x14ac:dyDescent="0.2">
      <c r="B121" s="1029"/>
      <c r="C121" s="1030"/>
      <c r="D121" s="1029"/>
      <c r="E121" s="1032"/>
      <c r="F121" s="1032"/>
      <c r="G121" s="1020"/>
      <c r="H121" s="1659"/>
      <c r="I121" s="1659"/>
      <c r="J121" s="1077" t="str">
        <f t="shared" si="6"/>
        <v/>
      </c>
      <c r="K121" s="1659"/>
      <c r="L121" s="1659"/>
      <c r="M121" s="1078" t="str">
        <f t="shared" si="7"/>
        <v/>
      </c>
      <c r="N121" s="1659"/>
      <c r="O121" s="1659"/>
      <c r="P121" s="1078" t="str">
        <f t="shared" si="8"/>
        <v/>
      </c>
      <c r="Q121" s="1659"/>
      <c r="R121" s="1659"/>
      <c r="S121" s="1078" t="str">
        <f t="shared" si="9"/>
        <v/>
      </c>
      <c r="T121" s="1661"/>
      <c r="U121" s="1659"/>
      <c r="V121" s="1078" t="str">
        <f t="shared" si="10"/>
        <v/>
      </c>
      <c r="W121" s="1016"/>
      <c r="X121" s="1016"/>
      <c r="Y121" s="1016"/>
      <c r="Z121" s="1016"/>
      <c r="AA121" s="1016"/>
      <c r="AB121" s="1016"/>
      <c r="AC121" s="1016"/>
      <c r="AD121" s="1016"/>
      <c r="AE121" s="1016"/>
      <c r="AF121" s="1016"/>
      <c r="AG121" s="1016"/>
      <c r="AH121" s="1016"/>
      <c r="AI121" s="1016"/>
      <c r="AJ121" s="1016"/>
      <c r="AK121" s="1016"/>
      <c r="AL121" s="1016"/>
      <c r="AM121" s="1016"/>
      <c r="AN121" s="1016"/>
      <c r="AO121" s="1016"/>
      <c r="AP121" s="1016"/>
      <c r="AQ121" s="1016"/>
      <c r="AR121" s="1016"/>
      <c r="AS121" s="1016"/>
      <c r="AT121" s="1016"/>
      <c r="AU121" s="1016"/>
      <c r="AV121" s="1016"/>
      <c r="AW121" s="1016"/>
    </row>
    <row r="122" spans="2:49" x14ac:dyDescent="0.2">
      <c r="B122" s="1029"/>
      <c r="C122" s="1030"/>
      <c r="D122" s="1029"/>
      <c r="E122" s="1032"/>
      <c r="F122" s="1032"/>
      <c r="G122" s="1020"/>
      <c r="H122" s="1659"/>
      <c r="I122" s="1659"/>
      <c r="J122" s="1077" t="str">
        <f t="shared" si="6"/>
        <v/>
      </c>
      <c r="K122" s="1659"/>
      <c r="L122" s="1659"/>
      <c r="M122" s="1078" t="str">
        <f t="shared" si="7"/>
        <v/>
      </c>
      <c r="N122" s="1659"/>
      <c r="O122" s="1659"/>
      <c r="P122" s="1078" t="str">
        <f t="shared" si="8"/>
        <v/>
      </c>
      <c r="Q122" s="1659"/>
      <c r="R122" s="1659"/>
      <c r="S122" s="1078" t="str">
        <f t="shared" si="9"/>
        <v/>
      </c>
      <c r="T122" s="1661"/>
      <c r="U122" s="1659"/>
      <c r="V122" s="1078" t="str">
        <f t="shared" si="10"/>
        <v/>
      </c>
      <c r="W122" s="1016"/>
      <c r="X122" s="1016"/>
      <c r="Y122" s="1016"/>
      <c r="Z122" s="1016"/>
      <c r="AA122" s="1016"/>
      <c r="AB122" s="1016"/>
      <c r="AC122" s="1016"/>
      <c r="AD122" s="1016"/>
      <c r="AE122" s="1016"/>
      <c r="AF122" s="1016"/>
      <c r="AG122" s="1016"/>
      <c r="AH122" s="1016"/>
      <c r="AI122" s="1016"/>
      <c r="AJ122" s="1016"/>
      <c r="AK122" s="1016"/>
      <c r="AL122" s="1016"/>
      <c r="AM122" s="1016"/>
      <c r="AN122" s="1016"/>
      <c r="AO122" s="1016"/>
      <c r="AP122" s="1016"/>
      <c r="AQ122" s="1016"/>
      <c r="AR122" s="1016"/>
      <c r="AS122" s="1016"/>
      <c r="AT122" s="1016"/>
      <c r="AU122" s="1016"/>
      <c r="AV122" s="1016"/>
      <c r="AW122" s="1016"/>
    </row>
    <row r="123" spans="2:49" x14ac:dyDescent="0.2">
      <c r="B123" s="1029"/>
      <c r="C123" s="1030"/>
      <c r="D123" s="1029"/>
      <c r="E123" s="1032"/>
      <c r="F123" s="1032"/>
      <c r="G123" s="1020"/>
      <c r="H123" s="1659"/>
      <c r="I123" s="1659"/>
      <c r="J123" s="1077" t="str">
        <f t="shared" si="6"/>
        <v/>
      </c>
      <c r="K123" s="1659"/>
      <c r="L123" s="1659"/>
      <c r="M123" s="1078" t="str">
        <f t="shared" si="7"/>
        <v/>
      </c>
      <c r="N123" s="1659"/>
      <c r="O123" s="1659"/>
      <c r="P123" s="1078" t="str">
        <f t="shared" si="8"/>
        <v/>
      </c>
      <c r="Q123" s="1659"/>
      <c r="R123" s="1659"/>
      <c r="S123" s="1078" t="str">
        <f t="shared" si="9"/>
        <v/>
      </c>
      <c r="T123" s="1661"/>
      <c r="U123" s="1659"/>
      <c r="V123" s="1078" t="str">
        <f t="shared" si="10"/>
        <v/>
      </c>
      <c r="W123" s="1016"/>
      <c r="X123" s="1016"/>
      <c r="Y123" s="1016"/>
      <c r="Z123" s="1016"/>
      <c r="AA123" s="1016"/>
      <c r="AB123" s="1016"/>
      <c r="AC123" s="1016"/>
      <c r="AD123" s="1016"/>
      <c r="AE123" s="1016"/>
      <c r="AF123" s="1016"/>
      <c r="AG123" s="1016"/>
      <c r="AH123" s="1016"/>
      <c r="AI123" s="1016"/>
      <c r="AJ123" s="1016"/>
      <c r="AK123" s="1016"/>
      <c r="AL123" s="1016"/>
      <c r="AM123" s="1016"/>
      <c r="AN123" s="1016"/>
      <c r="AO123" s="1016"/>
      <c r="AP123" s="1016"/>
      <c r="AQ123" s="1016"/>
      <c r="AR123" s="1016"/>
      <c r="AS123" s="1016"/>
      <c r="AT123" s="1016"/>
      <c r="AU123" s="1016"/>
      <c r="AV123" s="1016"/>
      <c r="AW123" s="1016"/>
    </row>
    <row r="124" spans="2:49" x14ac:dyDescent="0.2">
      <c r="B124" s="1029"/>
      <c r="C124" s="1030"/>
      <c r="D124" s="1029"/>
      <c r="E124" s="1032"/>
      <c r="F124" s="1032"/>
      <c r="G124" s="1020"/>
      <c r="H124" s="1659"/>
      <c r="I124" s="1659"/>
      <c r="J124" s="1077" t="str">
        <f t="shared" si="6"/>
        <v/>
      </c>
      <c r="K124" s="1659"/>
      <c r="L124" s="1659"/>
      <c r="M124" s="1078" t="str">
        <f t="shared" si="7"/>
        <v/>
      </c>
      <c r="N124" s="1659"/>
      <c r="O124" s="1659"/>
      <c r="P124" s="1078" t="str">
        <f t="shared" si="8"/>
        <v/>
      </c>
      <c r="Q124" s="1659"/>
      <c r="R124" s="1659"/>
      <c r="S124" s="1078" t="str">
        <f t="shared" si="9"/>
        <v/>
      </c>
      <c r="T124" s="1661"/>
      <c r="U124" s="1659"/>
      <c r="V124" s="1078" t="str">
        <f t="shared" si="10"/>
        <v/>
      </c>
      <c r="W124" s="1016"/>
      <c r="X124" s="1016"/>
      <c r="Y124" s="1016"/>
      <c r="Z124" s="1016"/>
      <c r="AA124" s="1016"/>
      <c r="AB124" s="1016"/>
      <c r="AC124" s="1016"/>
      <c r="AD124" s="1016"/>
      <c r="AE124" s="1016"/>
      <c r="AF124" s="1016"/>
      <c r="AG124" s="1016"/>
      <c r="AH124" s="1016"/>
      <c r="AI124" s="1016"/>
      <c r="AJ124" s="1016"/>
      <c r="AK124" s="1016"/>
      <c r="AL124" s="1016"/>
      <c r="AM124" s="1016"/>
      <c r="AN124" s="1016"/>
      <c r="AO124" s="1016"/>
      <c r="AP124" s="1016"/>
      <c r="AQ124" s="1016"/>
      <c r="AR124" s="1016"/>
      <c r="AS124" s="1016"/>
      <c r="AT124" s="1016"/>
      <c r="AU124" s="1016"/>
      <c r="AV124" s="1016"/>
      <c r="AW124" s="1016"/>
    </row>
    <row r="125" spans="2:49" x14ac:dyDescent="0.2">
      <c r="B125" s="1029"/>
      <c r="C125" s="1030"/>
      <c r="D125" s="1029"/>
      <c r="E125" s="1032"/>
      <c r="F125" s="1032"/>
      <c r="G125" s="1020"/>
      <c r="H125" s="1659"/>
      <c r="I125" s="1659"/>
      <c r="J125" s="1077" t="str">
        <f t="shared" si="6"/>
        <v/>
      </c>
      <c r="K125" s="1659"/>
      <c r="L125" s="1659"/>
      <c r="M125" s="1078" t="str">
        <f t="shared" si="7"/>
        <v/>
      </c>
      <c r="N125" s="1659"/>
      <c r="O125" s="1659"/>
      <c r="P125" s="1078" t="str">
        <f t="shared" si="8"/>
        <v/>
      </c>
      <c r="Q125" s="1659"/>
      <c r="R125" s="1659"/>
      <c r="S125" s="1078" t="str">
        <f t="shared" si="9"/>
        <v/>
      </c>
      <c r="T125" s="1661"/>
      <c r="U125" s="1659"/>
      <c r="V125" s="1078" t="str">
        <f t="shared" si="10"/>
        <v/>
      </c>
      <c r="W125" s="1016"/>
      <c r="X125" s="1016"/>
      <c r="Y125" s="1016"/>
      <c r="Z125" s="1016"/>
      <c r="AA125" s="1016"/>
      <c r="AB125" s="1016"/>
      <c r="AC125" s="1016"/>
      <c r="AD125" s="1016"/>
      <c r="AE125" s="1016"/>
      <c r="AF125" s="1016"/>
      <c r="AG125" s="1016"/>
      <c r="AH125" s="1016"/>
      <c r="AI125" s="1016"/>
      <c r="AJ125" s="1016"/>
      <c r="AK125" s="1016"/>
      <c r="AL125" s="1016"/>
      <c r="AM125" s="1016"/>
      <c r="AN125" s="1016"/>
      <c r="AO125" s="1016"/>
      <c r="AP125" s="1016"/>
      <c r="AQ125" s="1016"/>
      <c r="AR125" s="1016"/>
      <c r="AS125" s="1016"/>
      <c r="AT125" s="1016"/>
      <c r="AU125" s="1016"/>
      <c r="AV125" s="1016"/>
      <c r="AW125" s="1016"/>
    </row>
    <row r="126" spans="2:49" x14ac:dyDescent="0.2">
      <c r="B126" s="1029"/>
      <c r="C126" s="1030"/>
      <c r="D126" s="1029"/>
      <c r="E126" s="1032"/>
      <c r="F126" s="1032"/>
      <c r="G126" s="1020"/>
      <c r="H126" s="1659"/>
      <c r="I126" s="1659"/>
      <c r="J126" s="1077" t="str">
        <f t="shared" si="6"/>
        <v/>
      </c>
      <c r="K126" s="1659"/>
      <c r="L126" s="1659"/>
      <c r="M126" s="1078" t="str">
        <f t="shared" si="7"/>
        <v/>
      </c>
      <c r="N126" s="1659"/>
      <c r="O126" s="1659"/>
      <c r="P126" s="1078" t="str">
        <f t="shared" si="8"/>
        <v/>
      </c>
      <c r="Q126" s="1659"/>
      <c r="R126" s="1659"/>
      <c r="S126" s="1078" t="str">
        <f t="shared" si="9"/>
        <v/>
      </c>
      <c r="T126" s="1661"/>
      <c r="U126" s="1659"/>
      <c r="V126" s="1078" t="str">
        <f t="shared" si="10"/>
        <v/>
      </c>
      <c r="W126" s="1016"/>
      <c r="X126" s="1016"/>
      <c r="Y126" s="1016"/>
      <c r="Z126" s="1016"/>
      <c r="AA126" s="1016"/>
      <c r="AB126" s="1016"/>
      <c r="AC126" s="1016"/>
      <c r="AD126" s="1016"/>
      <c r="AE126" s="1016"/>
      <c r="AF126" s="1016"/>
      <c r="AG126" s="1016"/>
      <c r="AH126" s="1016"/>
      <c r="AI126" s="1016"/>
      <c r="AJ126" s="1016"/>
      <c r="AK126" s="1016"/>
      <c r="AL126" s="1016"/>
      <c r="AM126" s="1016"/>
      <c r="AN126" s="1016"/>
      <c r="AO126" s="1016"/>
      <c r="AP126" s="1016"/>
      <c r="AQ126" s="1016"/>
      <c r="AR126" s="1016"/>
      <c r="AS126" s="1016"/>
      <c r="AT126" s="1016"/>
      <c r="AU126" s="1016"/>
      <c r="AV126" s="1016"/>
      <c r="AW126" s="1016"/>
    </row>
    <row r="127" spans="2:49" x14ac:dyDescent="0.2">
      <c r="B127" s="1029"/>
      <c r="C127" s="1030"/>
      <c r="D127" s="1029"/>
      <c r="E127" s="1032"/>
      <c r="F127" s="1032"/>
      <c r="G127" s="1020"/>
      <c r="H127" s="1659"/>
      <c r="I127" s="1659"/>
      <c r="J127" s="1077" t="str">
        <f t="shared" si="6"/>
        <v/>
      </c>
      <c r="K127" s="1659"/>
      <c r="L127" s="1659"/>
      <c r="M127" s="1078" t="str">
        <f t="shared" si="7"/>
        <v/>
      </c>
      <c r="N127" s="1659"/>
      <c r="O127" s="1659"/>
      <c r="P127" s="1078" t="str">
        <f t="shared" si="8"/>
        <v/>
      </c>
      <c r="Q127" s="1659"/>
      <c r="R127" s="1659"/>
      <c r="S127" s="1078" t="str">
        <f t="shared" si="9"/>
        <v/>
      </c>
      <c r="T127" s="1661"/>
      <c r="U127" s="1659"/>
      <c r="V127" s="1078" t="str">
        <f t="shared" si="10"/>
        <v/>
      </c>
      <c r="W127" s="1016"/>
      <c r="X127" s="1016"/>
      <c r="Y127" s="1016"/>
      <c r="Z127" s="1016"/>
      <c r="AA127" s="1016"/>
      <c r="AB127" s="1016"/>
      <c r="AC127" s="1016"/>
      <c r="AD127" s="1016"/>
      <c r="AE127" s="1016"/>
      <c r="AF127" s="1016"/>
      <c r="AG127" s="1016"/>
      <c r="AH127" s="1016"/>
      <c r="AI127" s="1016"/>
      <c r="AJ127" s="1016"/>
      <c r="AK127" s="1016"/>
      <c r="AL127" s="1016"/>
      <c r="AM127" s="1016"/>
      <c r="AN127" s="1016"/>
      <c r="AO127" s="1016"/>
      <c r="AP127" s="1016"/>
      <c r="AQ127" s="1016"/>
      <c r="AR127" s="1016"/>
      <c r="AS127" s="1016"/>
      <c r="AT127" s="1016"/>
      <c r="AU127" s="1016"/>
      <c r="AV127" s="1016"/>
      <c r="AW127" s="1016"/>
    </row>
    <row r="128" spans="2:49" x14ac:dyDescent="0.2">
      <c r="B128" s="1029"/>
      <c r="C128" s="1030"/>
      <c r="D128" s="1029"/>
      <c r="E128" s="1032"/>
      <c r="F128" s="1032"/>
      <c r="G128" s="1020"/>
      <c r="H128" s="1659"/>
      <c r="I128" s="1659"/>
      <c r="J128" s="1077" t="str">
        <f t="shared" si="6"/>
        <v/>
      </c>
      <c r="K128" s="1659"/>
      <c r="L128" s="1659"/>
      <c r="M128" s="1078" t="str">
        <f t="shared" si="7"/>
        <v/>
      </c>
      <c r="N128" s="1659"/>
      <c r="O128" s="1659"/>
      <c r="P128" s="1078" t="str">
        <f t="shared" si="8"/>
        <v/>
      </c>
      <c r="Q128" s="1659"/>
      <c r="R128" s="1659"/>
      <c r="S128" s="1078" t="str">
        <f t="shared" si="9"/>
        <v/>
      </c>
      <c r="T128" s="1661"/>
      <c r="U128" s="1659"/>
      <c r="V128" s="1078" t="str">
        <f t="shared" si="10"/>
        <v/>
      </c>
      <c r="W128" s="1016"/>
      <c r="X128" s="1016"/>
      <c r="Y128" s="1016"/>
      <c r="Z128" s="1016"/>
      <c r="AA128" s="1016"/>
      <c r="AB128" s="1016"/>
      <c r="AC128" s="1016"/>
      <c r="AD128" s="1016"/>
      <c r="AE128" s="1016"/>
      <c r="AF128" s="1016"/>
      <c r="AG128" s="1016"/>
      <c r="AH128" s="1016"/>
      <c r="AI128" s="1016"/>
      <c r="AJ128" s="1016"/>
      <c r="AK128" s="1016"/>
      <c r="AL128" s="1016"/>
      <c r="AM128" s="1016"/>
      <c r="AN128" s="1016"/>
      <c r="AO128" s="1016"/>
      <c r="AP128" s="1016"/>
      <c r="AQ128" s="1016"/>
      <c r="AR128" s="1016"/>
      <c r="AS128" s="1016"/>
      <c r="AT128" s="1016"/>
      <c r="AU128" s="1016"/>
      <c r="AV128" s="1016"/>
      <c r="AW128" s="1016"/>
    </row>
    <row r="129" spans="2:49" x14ac:dyDescent="0.2">
      <c r="B129" s="1029"/>
      <c r="C129" s="1030"/>
      <c r="D129" s="1029"/>
      <c r="E129" s="1032"/>
      <c r="F129" s="1032"/>
      <c r="G129" s="1020"/>
      <c r="H129" s="1659"/>
      <c r="I129" s="1659"/>
      <c r="J129" s="1077" t="str">
        <f t="shared" si="6"/>
        <v/>
      </c>
      <c r="K129" s="1659"/>
      <c r="L129" s="1659"/>
      <c r="M129" s="1078" t="str">
        <f t="shared" si="7"/>
        <v/>
      </c>
      <c r="N129" s="1659"/>
      <c r="O129" s="1659"/>
      <c r="P129" s="1078" t="str">
        <f t="shared" si="8"/>
        <v/>
      </c>
      <c r="Q129" s="1659"/>
      <c r="R129" s="1659"/>
      <c r="S129" s="1078" t="str">
        <f t="shared" si="9"/>
        <v/>
      </c>
      <c r="T129" s="1661"/>
      <c r="U129" s="1659"/>
      <c r="V129" s="1078" t="str">
        <f t="shared" si="10"/>
        <v/>
      </c>
      <c r="W129" s="1016"/>
      <c r="X129" s="1016"/>
      <c r="Y129" s="1016"/>
      <c r="Z129" s="1016"/>
      <c r="AA129" s="1016"/>
      <c r="AB129" s="1016"/>
      <c r="AC129" s="1016"/>
      <c r="AD129" s="1016"/>
      <c r="AE129" s="1016"/>
      <c r="AF129" s="1016"/>
      <c r="AG129" s="1016"/>
      <c r="AH129" s="1016"/>
      <c r="AI129" s="1016"/>
      <c r="AJ129" s="1016"/>
      <c r="AK129" s="1016"/>
      <c r="AL129" s="1016"/>
      <c r="AM129" s="1016"/>
      <c r="AN129" s="1016"/>
      <c r="AO129" s="1016"/>
      <c r="AP129" s="1016"/>
      <c r="AQ129" s="1016"/>
      <c r="AR129" s="1016"/>
      <c r="AS129" s="1016"/>
      <c r="AT129" s="1016"/>
      <c r="AU129" s="1016"/>
      <c r="AV129" s="1016"/>
      <c r="AW129" s="1016"/>
    </row>
    <row r="130" spans="2:49" x14ac:dyDescent="0.2">
      <c r="B130" s="1029"/>
      <c r="C130" s="1030"/>
      <c r="D130" s="1029"/>
      <c r="E130" s="1032"/>
      <c r="F130" s="1032"/>
      <c r="G130" s="1020"/>
      <c r="H130" s="1659"/>
      <c r="I130" s="1659"/>
      <c r="J130" s="1077" t="str">
        <f t="shared" si="6"/>
        <v/>
      </c>
      <c r="K130" s="1659"/>
      <c r="L130" s="1659"/>
      <c r="M130" s="1078" t="str">
        <f t="shared" si="7"/>
        <v/>
      </c>
      <c r="N130" s="1659"/>
      <c r="O130" s="1659"/>
      <c r="P130" s="1078" t="str">
        <f t="shared" si="8"/>
        <v/>
      </c>
      <c r="Q130" s="1659"/>
      <c r="R130" s="1659"/>
      <c r="S130" s="1078" t="str">
        <f t="shared" si="9"/>
        <v/>
      </c>
      <c r="T130" s="1661"/>
      <c r="U130" s="1659"/>
      <c r="V130" s="1078" t="str">
        <f t="shared" si="10"/>
        <v/>
      </c>
      <c r="W130" s="1016"/>
      <c r="X130" s="1016"/>
      <c r="Y130" s="1016"/>
      <c r="Z130" s="1016"/>
      <c r="AA130" s="1016"/>
      <c r="AB130" s="1016"/>
      <c r="AC130" s="1016"/>
      <c r="AD130" s="1016"/>
      <c r="AE130" s="1016"/>
      <c r="AF130" s="1016"/>
      <c r="AG130" s="1016"/>
      <c r="AH130" s="1016"/>
      <c r="AI130" s="1016"/>
      <c r="AJ130" s="1016"/>
      <c r="AK130" s="1016"/>
      <c r="AL130" s="1016"/>
      <c r="AM130" s="1016"/>
      <c r="AN130" s="1016"/>
      <c r="AO130" s="1016"/>
      <c r="AP130" s="1016"/>
      <c r="AQ130" s="1016"/>
      <c r="AR130" s="1016"/>
      <c r="AS130" s="1016"/>
      <c r="AT130" s="1016"/>
      <c r="AU130" s="1016"/>
      <c r="AV130" s="1016"/>
      <c r="AW130" s="1016"/>
    </row>
    <row r="131" spans="2:49" x14ac:dyDescent="0.2">
      <c r="B131" s="1029"/>
      <c r="C131" s="1030"/>
      <c r="D131" s="1029"/>
      <c r="E131" s="1032"/>
      <c r="F131" s="1032"/>
      <c r="G131" s="1020"/>
      <c r="H131" s="1659"/>
      <c r="I131" s="1659"/>
      <c r="J131" s="1077" t="str">
        <f t="shared" si="6"/>
        <v/>
      </c>
      <c r="K131" s="1659"/>
      <c r="L131" s="1659"/>
      <c r="M131" s="1078" t="str">
        <f t="shared" si="7"/>
        <v/>
      </c>
      <c r="N131" s="1659"/>
      <c r="O131" s="1659"/>
      <c r="P131" s="1078" t="str">
        <f t="shared" si="8"/>
        <v/>
      </c>
      <c r="Q131" s="1659"/>
      <c r="R131" s="1659"/>
      <c r="S131" s="1078" t="str">
        <f t="shared" si="9"/>
        <v/>
      </c>
      <c r="T131" s="1661"/>
      <c r="U131" s="1659"/>
      <c r="V131" s="1078" t="str">
        <f t="shared" si="10"/>
        <v/>
      </c>
      <c r="W131" s="1016"/>
      <c r="X131" s="1016"/>
      <c r="Y131" s="1016"/>
      <c r="Z131" s="1016"/>
      <c r="AA131" s="1016"/>
      <c r="AB131" s="1016"/>
      <c r="AC131" s="1016"/>
      <c r="AD131" s="1016"/>
      <c r="AE131" s="1016"/>
      <c r="AF131" s="1016"/>
      <c r="AG131" s="1016"/>
      <c r="AH131" s="1016"/>
      <c r="AI131" s="1016"/>
      <c r="AJ131" s="1016"/>
      <c r="AK131" s="1016"/>
      <c r="AL131" s="1016"/>
      <c r="AM131" s="1016"/>
      <c r="AN131" s="1016"/>
      <c r="AO131" s="1016"/>
      <c r="AP131" s="1016"/>
      <c r="AQ131" s="1016"/>
      <c r="AR131" s="1016"/>
      <c r="AS131" s="1016"/>
      <c r="AT131" s="1016"/>
      <c r="AU131" s="1016"/>
      <c r="AV131" s="1016"/>
      <c r="AW131" s="1016"/>
    </row>
    <row r="132" spans="2:49" x14ac:dyDescent="0.2">
      <c r="B132" s="1029"/>
      <c r="C132" s="1030"/>
      <c r="D132" s="1029"/>
      <c r="E132" s="1032"/>
      <c r="F132" s="1032"/>
      <c r="G132" s="1020"/>
      <c r="H132" s="1659"/>
      <c r="I132" s="1659"/>
      <c r="J132" s="1077" t="str">
        <f t="shared" si="6"/>
        <v/>
      </c>
      <c r="K132" s="1659"/>
      <c r="L132" s="1659"/>
      <c r="M132" s="1078" t="str">
        <f t="shared" si="7"/>
        <v/>
      </c>
      <c r="N132" s="1659"/>
      <c r="O132" s="1659"/>
      <c r="P132" s="1078" t="str">
        <f t="shared" si="8"/>
        <v/>
      </c>
      <c r="Q132" s="1659"/>
      <c r="R132" s="1659"/>
      <c r="S132" s="1078" t="str">
        <f t="shared" si="9"/>
        <v/>
      </c>
      <c r="T132" s="1661"/>
      <c r="U132" s="1659"/>
      <c r="V132" s="1078" t="str">
        <f t="shared" si="10"/>
        <v/>
      </c>
      <c r="W132" s="1016"/>
      <c r="X132" s="1016"/>
      <c r="Y132" s="1016"/>
      <c r="Z132" s="1016"/>
      <c r="AA132" s="1016"/>
      <c r="AB132" s="1016"/>
      <c r="AC132" s="1016"/>
      <c r="AD132" s="1016"/>
      <c r="AE132" s="1016"/>
      <c r="AF132" s="1016"/>
      <c r="AG132" s="1016"/>
      <c r="AH132" s="1016"/>
      <c r="AI132" s="1016"/>
      <c r="AJ132" s="1016"/>
      <c r="AK132" s="1016"/>
      <c r="AL132" s="1016"/>
      <c r="AM132" s="1016"/>
      <c r="AN132" s="1016"/>
      <c r="AO132" s="1016"/>
      <c r="AP132" s="1016"/>
      <c r="AQ132" s="1016"/>
      <c r="AR132" s="1016"/>
      <c r="AS132" s="1016"/>
      <c r="AT132" s="1016"/>
      <c r="AU132" s="1016"/>
      <c r="AV132" s="1016"/>
      <c r="AW132" s="1016"/>
    </row>
    <row r="133" spans="2:49" x14ac:dyDescent="0.2">
      <c r="B133" s="1029"/>
      <c r="C133" s="1030"/>
      <c r="D133" s="1029"/>
      <c r="E133" s="1032"/>
      <c r="F133" s="1032"/>
      <c r="G133" s="1020"/>
      <c r="H133" s="1659"/>
      <c r="I133" s="1659"/>
      <c r="J133" s="1077" t="str">
        <f t="shared" si="6"/>
        <v/>
      </c>
      <c r="K133" s="1659"/>
      <c r="L133" s="1659"/>
      <c r="M133" s="1078" t="str">
        <f t="shared" si="7"/>
        <v/>
      </c>
      <c r="N133" s="1659"/>
      <c r="O133" s="1659"/>
      <c r="P133" s="1078" t="str">
        <f t="shared" si="8"/>
        <v/>
      </c>
      <c r="Q133" s="1659"/>
      <c r="R133" s="1659"/>
      <c r="S133" s="1078" t="str">
        <f t="shared" si="9"/>
        <v/>
      </c>
      <c r="T133" s="1661"/>
      <c r="U133" s="1659"/>
      <c r="V133" s="1078" t="str">
        <f t="shared" si="10"/>
        <v/>
      </c>
      <c r="W133" s="1016"/>
      <c r="X133" s="1016"/>
      <c r="Y133" s="1016"/>
      <c r="Z133" s="1016"/>
      <c r="AA133" s="1016"/>
      <c r="AB133" s="1016"/>
      <c r="AC133" s="1016"/>
      <c r="AD133" s="1016"/>
      <c r="AE133" s="1016"/>
      <c r="AF133" s="1016"/>
      <c r="AG133" s="1016"/>
      <c r="AH133" s="1016"/>
      <c r="AI133" s="1016"/>
      <c r="AJ133" s="1016"/>
      <c r="AK133" s="1016"/>
      <c r="AL133" s="1016"/>
      <c r="AM133" s="1016"/>
      <c r="AN133" s="1016"/>
      <c r="AO133" s="1016"/>
      <c r="AP133" s="1016"/>
      <c r="AQ133" s="1016"/>
      <c r="AR133" s="1016"/>
      <c r="AS133" s="1016"/>
      <c r="AT133" s="1016"/>
      <c r="AU133" s="1016"/>
      <c r="AV133" s="1016"/>
      <c r="AW133" s="1016"/>
    </row>
    <row r="134" spans="2:49" x14ac:dyDescent="0.2">
      <c r="B134" s="1029"/>
      <c r="C134" s="1030"/>
      <c r="D134" s="1029"/>
      <c r="E134" s="1032"/>
      <c r="F134" s="1032"/>
      <c r="G134" s="1020"/>
      <c r="H134" s="1659"/>
      <c r="I134" s="1659"/>
      <c r="J134" s="1077" t="str">
        <f t="shared" si="6"/>
        <v/>
      </c>
      <c r="K134" s="1659"/>
      <c r="L134" s="1659"/>
      <c r="M134" s="1078" t="str">
        <f t="shared" si="7"/>
        <v/>
      </c>
      <c r="N134" s="1659"/>
      <c r="O134" s="1659"/>
      <c r="P134" s="1078" t="str">
        <f t="shared" si="8"/>
        <v/>
      </c>
      <c r="Q134" s="1659"/>
      <c r="R134" s="1659"/>
      <c r="S134" s="1078" t="str">
        <f t="shared" si="9"/>
        <v/>
      </c>
      <c r="T134" s="1661"/>
      <c r="U134" s="1659"/>
      <c r="V134" s="1078" t="str">
        <f t="shared" si="10"/>
        <v/>
      </c>
      <c r="W134" s="1016"/>
      <c r="X134" s="1016"/>
      <c r="Y134" s="1016"/>
      <c r="Z134" s="1016"/>
      <c r="AA134" s="1016"/>
      <c r="AB134" s="1016"/>
      <c r="AC134" s="1016"/>
      <c r="AD134" s="1016"/>
      <c r="AE134" s="1016"/>
      <c r="AF134" s="1016"/>
      <c r="AG134" s="1016"/>
      <c r="AH134" s="1016"/>
      <c r="AI134" s="1016"/>
      <c r="AJ134" s="1016"/>
      <c r="AK134" s="1016"/>
      <c r="AL134" s="1016"/>
      <c r="AM134" s="1016"/>
      <c r="AN134" s="1016"/>
      <c r="AO134" s="1016"/>
      <c r="AP134" s="1016"/>
      <c r="AQ134" s="1016"/>
      <c r="AR134" s="1016"/>
      <c r="AS134" s="1016"/>
      <c r="AT134" s="1016"/>
      <c r="AU134" s="1016"/>
      <c r="AV134" s="1016"/>
      <c r="AW134" s="1016"/>
    </row>
    <row r="135" spans="2:49" x14ac:dyDescent="0.2">
      <c r="B135" s="1029"/>
      <c r="C135" s="1030"/>
      <c r="D135" s="1029"/>
      <c r="E135" s="1032"/>
      <c r="F135" s="1032"/>
      <c r="G135" s="1020"/>
      <c r="H135" s="1659"/>
      <c r="I135" s="1659"/>
      <c r="J135" s="1077" t="str">
        <f t="shared" si="6"/>
        <v/>
      </c>
      <c r="K135" s="1659"/>
      <c r="L135" s="1659"/>
      <c r="M135" s="1078" t="str">
        <f t="shared" si="7"/>
        <v/>
      </c>
      <c r="N135" s="1659"/>
      <c r="O135" s="1659"/>
      <c r="P135" s="1078" t="str">
        <f t="shared" si="8"/>
        <v/>
      </c>
      <c r="Q135" s="1659"/>
      <c r="R135" s="1659"/>
      <c r="S135" s="1078" t="str">
        <f t="shared" si="9"/>
        <v/>
      </c>
      <c r="T135" s="1661"/>
      <c r="U135" s="1659"/>
      <c r="V135" s="1078" t="str">
        <f t="shared" si="10"/>
        <v/>
      </c>
      <c r="W135" s="1016"/>
      <c r="X135" s="1016"/>
      <c r="Y135" s="1016"/>
      <c r="Z135" s="1016"/>
      <c r="AA135" s="1016"/>
      <c r="AB135" s="1016"/>
      <c r="AC135" s="1016"/>
      <c r="AD135" s="1016"/>
      <c r="AE135" s="1016"/>
      <c r="AF135" s="1016"/>
      <c r="AG135" s="1016"/>
      <c r="AH135" s="1016"/>
      <c r="AI135" s="1016"/>
      <c r="AJ135" s="1016"/>
      <c r="AK135" s="1016"/>
      <c r="AL135" s="1016"/>
      <c r="AM135" s="1016"/>
      <c r="AN135" s="1016"/>
      <c r="AO135" s="1016"/>
      <c r="AP135" s="1016"/>
      <c r="AQ135" s="1016"/>
      <c r="AR135" s="1016"/>
      <c r="AS135" s="1016"/>
      <c r="AT135" s="1016"/>
      <c r="AU135" s="1016"/>
      <c r="AV135" s="1016"/>
      <c r="AW135" s="1016"/>
    </row>
    <row r="136" spans="2:49" x14ac:dyDescent="0.2">
      <c r="B136" s="1029"/>
      <c r="C136" s="1030"/>
      <c r="D136" s="1029"/>
      <c r="E136" s="1032"/>
      <c r="F136" s="1032"/>
      <c r="G136" s="1020"/>
      <c r="H136" s="1659"/>
      <c r="I136" s="1659"/>
      <c r="J136" s="1077" t="str">
        <f t="shared" si="6"/>
        <v/>
      </c>
      <c r="K136" s="1659"/>
      <c r="L136" s="1659"/>
      <c r="M136" s="1078" t="str">
        <f t="shared" si="7"/>
        <v/>
      </c>
      <c r="N136" s="1659"/>
      <c r="O136" s="1659"/>
      <c r="P136" s="1078" t="str">
        <f t="shared" si="8"/>
        <v/>
      </c>
      <c r="Q136" s="1659"/>
      <c r="R136" s="1659"/>
      <c r="S136" s="1078" t="str">
        <f t="shared" si="9"/>
        <v/>
      </c>
      <c r="T136" s="1661"/>
      <c r="U136" s="1659"/>
      <c r="V136" s="1078" t="str">
        <f t="shared" si="10"/>
        <v/>
      </c>
      <c r="W136" s="1016"/>
      <c r="X136" s="1016"/>
      <c r="Y136" s="1016"/>
      <c r="Z136" s="1016"/>
      <c r="AA136" s="1016"/>
      <c r="AB136" s="1016"/>
      <c r="AC136" s="1016"/>
      <c r="AD136" s="1016"/>
      <c r="AE136" s="1016"/>
      <c r="AF136" s="1016"/>
      <c r="AG136" s="1016"/>
      <c r="AH136" s="1016"/>
      <c r="AI136" s="1016"/>
      <c r="AJ136" s="1016"/>
      <c r="AK136" s="1016"/>
      <c r="AL136" s="1016"/>
      <c r="AM136" s="1016"/>
      <c r="AN136" s="1016"/>
      <c r="AO136" s="1016"/>
      <c r="AP136" s="1016"/>
      <c r="AQ136" s="1016"/>
      <c r="AR136" s="1016"/>
      <c r="AS136" s="1016"/>
      <c r="AT136" s="1016"/>
      <c r="AU136" s="1016"/>
      <c r="AV136" s="1016"/>
      <c r="AW136" s="1016"/>
    </row>
    <row r="137" spans="2:49" x14ac:dyDescent="0.2">
      <c r="B137" s="1029"/>
      <c r="C137" s="1030"/>
      <c r="D137" s="1029"/>
      <c r="E137" s="1032"/>
      <c r="F137" s="1032"/>
      <c r="G137" s="1020"/>
      <c r="H137" s="1659"/>
      <c r="I137" s="1659"/>
      <c r="J137" s="1077" t="str">
        <f t="shared" si="6"/>
        <v/>
      </c>
      <c r="K137" s="1659"/>
      <c r="L137" s="1659"/>
      <c r="M137" s="1078" t="str">
        <f t="shared" si="7"/>
        <v/>
      </c>
      <c r="N137" s="1659"/>
      <c r="O137" s="1659"/>
      <c r="P137" s="1078" t="str">
        <f t="shared" si="8"/>
        <v/>
      </c>
      <c r="Q137" s="1659"/>
      <c r="R137" s="1659"/>
      <c r="S137" s="1078" t="str">
        <f t="shared" si="9"/>
        <v/>
      </c>
      <c r="T137" s="1661"/>
      <c r="U137" s="1659"/>
      <c r="V137" s="1078" t="str">
        <f t="shared" si="10"/>
        <v/>
      </c>
      <c r="W137" s="1016"/>
      <c r="X137" s="1016"/>
      <c r="Y137" s="1016"/>
      <c r="Z137" s="1016"/>
      <c r="AA137" s="1016"/>
      <c r="AB137" s="1016"/>
      <c r="AC137" s="1016"/>
      <c r="AD137" s="1016"/>
      <c r="AE137" s="1016"/>
      <c r="AF137" s="1016"/>
      <c r="AG137" s="1016"/>
      <c r="AH137" s="1016"/>
      <c r="AI137" s="1016"/>
      <c r="AJ137" s="1016"/>
      <c r="AK137" s="1016"/>
      <c r="AL137" s="1016"/>
      <c r="AM137" s="1016"/>
      <c r="AN137" s="1016"/>
      <c r="AO137" s="1016"/>
      <c r="AP137" s="1016"/>
      <c r="AQ137" s="1016"/>
      <c r="AR137" s="1016"/>
      <c r="AS137" s="1016"/>
      <c r="AT137" s="1016"/>
      <c r="AU137" s="1016"/>
      <c r="AV137" s="1016"/>
      <c r="AW137" s="1016"/>
    </row>
    <row r="138" spans="2:49" x14ac:dyDescent="0.2">
      <c r="B138" s="1029"/>
      <c r="C138" s="1030"/>
      <c r="D138" s="1029"/>
      <c r="E138" s="1032"/>
      <c r="F138" s="1032"/>
      <c r="G138" s="1020"/>
      <c r="H138" s="1659"/>
      <c r="I138" s="1659"/>
      <c r="J138" s="1077" t="str">
        <f t="shared" si="6"/>
        <v/>
      </c>
      <c r="K138" s="1659"/>
      <c r="L138" s="1659"/>
      <c r="M138" s="1078" t="str">
        <f t="shared" si="7"/>
        <v/>
      </c>
      <c r="N138" s="1659"/>
      <c r="O138" s="1659"/>
      <c r="P138" s="1078" t="str">
        <f t="shared" si="8"/>
        <v/>
      </c>
      <c r="Q138" s="1659"/>
      <c r="R138" s="1659"/>
      <c r="S138" s="1078" t="str">
        <f t="shared" si="9"/>
        <v/>
      </c>
      <c r="T138" s="1661"/>
      <c r="U138" s="1659"/>
      <c r="V138" s="1078" t="str">
        <f t="shared" si="10"/>
        <v/>
      </c>
      <c r="W138" s="1016"/>
      <c r="X138" s="1016"/>
      <c r="Y138" s="1016"/>
      <c r="Z138" s="1016"/>
      <c r="AA138" s="1016"/>
      <c r="AB138" s="1016"/>
      <c r="AC138" s="1016"/>
      <c r="AD138" s="1016"/>
      <c r="AE138" s="1016"/>
      <c r="AF138" s="1016"/>
      <c r="AG138" s="1016"/>
      <c r="AH138" s="1016"/>
      <c r="AI138" s="1016"/>
      <c r="AJ138" s="1016"/>
      <c r="AK138" s="1016"/>
      <c r="AL138" s="1016"/>
      <c r="AM138" s="1016"/>
      <c r="AN138" s="1016"/>
      <c r="AO138" s="1016"/>
      <c r="AP138" s="1016"/>
      <c r="AQ138" s="1016"/>
      <c r="AR138" s="1016"/>
      <c r="AS138" s="1016"/>
      <c r="AT138" s="1016"/>
      <c r="AU138" s="1016"/>
      <c r="AV138" s="1016"/>
      <c r="AW138" s="1016"/>
    </row>
    <row r="139" spans="2:49" x14ac:dyDescent="0.2">
      <c r="B139" s="1029"/>
      <c r="C139" s="1030"/>
      <c r="D139" s="1029"/>
      <c r="E139" s="1032"/>
      <c r="F139" s="1032"/>
      <c r="G139" s="1020"/>
      <c r="H139" s="1659"/>
      <c r="I139" s="1659"/>
      <c r="J139" s="1077" t="str">
        <f t="shared" si="6"/>
        <v/>
      </c>
      <c r="K139" s="1659"/>
      <c r="L139" s="1659"/>
      <c r="M139" s="1078" t="str">
        <f t="shared" si="7"/>
        <v/>
      </c>
      <c r="N139" s="1659"/>
      <c r="O139" s="1659"/>
      <c r="P139" s="1078" t="str">
        <f t="shared" si="8"/>
        <v/>
      </c>
      <c r="Q139" s="1659"/>
      <c r="R139" s="1659"/>
      <c r="S139" s="1078" t="str">
        <f t="shared" si="9"/>
        <v/>
      </c>
      <c r="T139" s="1661"/>
      <c r="U139" s="1659"/>
      <c r="V139" s="1078" t="str">
        <f t="shared" si="10"/>
        <v/>
      </c>
      <c r="W139" s="1016"/>
      <c r="X139" s="1016"/>
      <c r="Y139" s="1016"/>
      <c r="Z139" s="1016"/>
      <c r="AA139" s="1016"/>
      <c r="AB139" s="1016"/>
      <c r="AC139" s="1016"/>
      <c r="AD139" s="1016"/>
      <c r="AE139" s="1016"/>
      <c r="AF139" s="1016"/>
      <c r="AG139" s="1016"/>
      <c r="AH139" s="1016"/>
      <c r="AI139" s="1016"/>
      <c r="AJ139" s="1016"/>
      <c r="AK139" s="1016"/>
      <c r="AL139" s="1016"/>
      <c r="AM139" s="1016"/>
      <c r="AN139" s="1016"/>
      <c r="AO139" s="1016"/>
      <c r="AP139" s="1016"/>
      <c r="AQ139" s="1016"/>
      <c r="AR139" s="1016"/>
      <c r="AS139" s="1016"/>
      <c r="AT139" s="1016"/>
      <c r="AU139" s="1016"/>
      <c r="AV139" s="1016"/>
      <c r="AW139" s="1016"/>
    </row>
    <row r="140" spans="2:49" x14ac:dyDescent="0.2">
      <c r="B140" s="1029"/>
      <c r="C140" s="1030"/>
      <c r="D140" s="1029"/>
      <c r="E140" s="1032"/>
      <c r="F140" s="1032"/>
      <c r="G140" s="1020"/>
      <c r="H140" s="1659"/>
      <c r="I140" s="1659"/>
      <c r="J140" s="1077" t="str">
        <f t="shared" si="6"/>
        <v/>
      </c>
      <c r="K140" s="1659"/>
      <c r="L140" s="1659"/>
      <c r="M140" s="1078" t="str">
        <f t="shared" si="7"/>
        <v/>
      </c>
      <c r="N140" s="1659"/>
      <c r="O140" s="1659"/>
      <c r="P140" s="1078" t="str">
        <f t="shared" si="8"/>
        <v/>
      </c>
      <c r="Q140" s="1659"/>
      <c r="R140" s="1659"/>
      <c r="S140" s="1078" t="str">
        <f t="shared" si="9"/>
        <v/>
      </c>
      <c r="T140" s="1661"/>
      <c r="U140" s="1659"/>
      <c r="V140" s="1078" t="str">
        <f t="shared" si="10"/>
        <v/>
      </c>
      <c r="W140" s="1016"/>
      <c r="X140" s="1016"/>
      <c r="Y140" s="1016"/>
      <c r="Z140" s="1016"/>
      <c r="AA140" s="1016"/>
      <c r="AB140" s="1016"/>
      <c r="AC140" s="1016"/>
      <c r="AD140" s="1016"/>
      <c r="AE140" s="1016"/>
      <c r="AF140" s="1016"/>
      <c r="AG140" s="1016"/>
      <c r="AH140" s="1016"/>
      <c r="AI140" s="1016"/>
      <c r="AJ140" s="1016"/>
      <c r="AK140" s="1016"/>
      <c r="AL140" s="1016"/>
      <c r="AM140" s="1016"/>
      <c r="AN140" s="1016"/>
      <c r="AO140" s="1016"/>
      <c r="AP140" s="1016"/>
      <c r="AQ140" s="1016"/>
      <c r="AR140" s="1016"/>
      <c r="AS140" s="1016"/>
      <c r="AT140" s="1016"/>
      <c r="AU140" s="1016"/>
      <c r="AV140" s="1016"/>
      <c r="AW140" s="1016"/>
    </row>
    <row r="141" spans="2:49" x14ac:dyDescent="0.2">
      <c r="B141" s="1029"/>
      <c r="C141" s="1030"/>
      <c r="D141" s="1029"/>
      <c r="E141" s="1032"/>
      <c r="F141" s="1032"/>
      <c r="G141" s="1020"/>
      <c r="H141" s="1659"/>
      <c r="I141" s="1659"/>
      <c r="J141" s="1077" t="str">
        <f t="shared" si="6"/>
        <v/>
      </c>
      <c r="K141" s="1659"/>
      <c r="L141" s="1659"/>
      <c r="M141" s="1078" t="str">
        <f t="shared" si="7"/>
        <v/>
      </c>
      <c r="N141" s="1659"/>
      <c r="O141" s="1659"/>
      <c r="P141" s="1078" t="str">
        <f t="shared" si="8"/>
        <v/>
      </c>
      <c r="Q141" s="1659"/>
      <c r="R141" s="1659"/>
      <c r="S141" s="1078" t="str">
        <f t="shared" si="9"/>
        <v/>
      </c>
      <c r="T141" s="1661"/>
      <c r="U141" s="1659"/>
      <c r="V141" s="1078" t="str">
        <f t="shared" si="10"/>
        <v/>
      </c>
      <c r="W141" s="1016"/>
      <c r="X141" s="1016"/>
      <c r="Y141" s="1016"/>
      <c r="Z141" s="1016"/>
      <c r="AA141" s="1016"/>
      <c r="AB141" s="1016"/>
      <c r="AC141" s="1016"/>
      <c r="AD141" s="1016"/>
      <c r="AE141" s="1016"/>
      <c r="AF141" s="1016"/>
      <c r="AG141" s="1016"/>
      <c r="AH141" s="1016"/>
      <c r="AI141" s="1016"/>
      <c r="AJ141" s="1016"/>
      <c r="AK141" s="1016"/>
      <c r="AL141" s="1016"/>
      <c r="AM141" s="1016"/>
      <c r="AN141" s="1016"/>
      <c r="AO141" s="1016"/>
      <c r="AP141" s="1016"/>
      <c r="AQ141" s="1016"/>
      <c r="AR141" s="1016"/>
      <c r="AS141" s="1016"/>
      <c r="AT141" s="1016"/>
      <c r="AU141" s="1016"/>
      <c r="AV141" s="1016"/>
      <c r="AW141" s="1016"/>
    </row>
    <row r="142" spans="2:49" x14ac:dyDescent="0.2">
      <c r="B142" s="1029"/>
      <c r="C142" s="1030"/>
      <c r="D142" s="1029"/>
      <c r="E142" s="1032"/>
      <c r="F142" s="1032"/>
      <c r="G142" s="1020"/>
      <c r="H142" s="1659"/>
      <c r="I142" s="1659"/>
      <c r="J142" s="1077" t="str">
        <f t="shared" si="6"/>
        <v/>
      </c>
      <c r="K142" s="1659"/>
      <c r="L142" s="1659"/>
      <c r="M142" s="1078" t="str">
        <f t="shared" si="7"/>
        <v/>
      </c>
      <c r="N142" s="1659"/>
      <c r="O142" s="1659"/>
      <c r="P142" s="1078" t="str">
        <f t="shared" si="8"/>
        <v/>
      </c>
      <c r="Q142" s="1659"/>
      <c r="R142" s="1659"/>
      <c r="S142" s="1078" t="str">
        <f t="shared" si="9"/>
        <v/>
      </c>
      <c r="T142" s="1661"/>
      <c r="U142" s="1659"/>
      <c r="V142" s="1078" t="str">
        <f t="shared" si="10"/>
        <v/>
      </c>
      <c r="W142" s="1016"/>
      <c r="X142" s="1016"/>
      <c r="Y142" s="1016"/>
      <c r="Z142" s="1016"/>
      <c r="AA142" s="1016"/>
      <c r="AB142" s="1016"/>
      <c r="AC142" s="1016"/>
      <c r="AD142" s="1016"/>
      <c r="AE142" s="1016"/>
      <c r="AF142" s="1016"/>
      <c r="AG142" s="1016"/>
      <c r="AH142" s="1016"/>
      <c r="AI142" s="1016"/>
      <c r="AJ142" s="1016"/>
      <c r="AK142" s="1016"/>
      <c r="AL142" s="1016"/>
      <c r="AM142" s="1016"/>
      <c r="AN142" s="1016"/>
      <c r="AO142" s="1016"/>
      <c r="AP142" s="1016"/>
      <c r="AQ142" s="1016"/>
      <c r="AR142" s="1016"/>
      <c r="AS142" s="1016"/>
      <c r="AT142" s="1016"/>
      <c r="AU142" s="1016"/>
      <c r="AV142" s="1016"/>
      <c r="AW142" s="1016"/>
    </row>
    <row r="143" spans="2:49" x14ac:dyDescent="0.2">
      <c r="B143" s="1029"/>
      <c r="C143" s="1030"/>
      <c r="D143" s="1029"/>
      <c r="E143" s="1032"/>
      <c r="F143" s="1032"/>
      <c r="G143" s="1020"/>
      <c r="H143" s="1659"/>
      <c r="I143" s="1659"/>
      <c r="J143" s="1077" t="str">
        <f t="shared" si="6"/>
        <v/>
      </c>
      <c r="K143" s="1659"/>
      <c r="L143" s="1659"/>
      <c r="M143" s="1078" t="str">
        <f t="shared" si="7"/>
        <v/>
      </c>
      <c r="N143" s="1659"/>
      <c r="O143" s="1659"/>
      <c r="P143" s="1078" t="str">
        <f t="shared" si="8"/>
        <v/>
      </c>
      <c r="Q143" s="1659"/>
      <c r="R143" s="1659"/>
      <c r="S143" s="1078" t="str">
        <f t="shared" si="9"/>
        <v/>
      </c>
      <c r="T143" s="1661"/>
      <c r="U143" s="1659"/>
      <c r="V143" s="1078" t="str">
        <f t="shared" si="10"/>
        <v/>
      </c>
      <c r="W143" s="1016"/>
      <c r="X143" s="1016"/>
      <c r="Y143" s="1016"/>
      <c r="Z143" s="1016"/>
      <c r="AA143" s="1016"/>
      <c r="AB143" s="1016"/>
      <c r="AC143" s="1016"/>
      <c r="AD143" s="1016"/>
      <c r="AE143" s="1016"/>
      <c r="AF143" s="1016"/>
      <c r="AG143" s="1016"/>
      <c r="AH143" s="1016"/>
      <c r="AI143" s="1016"/>
      <c r="AJ143" s="1016"/>
      <c r="AK143" s="1016"/>
      <c r="AL143" s="1016"/>
      <c r="AM143" s="1016"/>
      <c r="AN143" s="1016"/>
      <c r="AO143" s="1016"/>
      <c r="AP143" s="1016"/>
      <c r="AQ143" s="1016"/>
      <c r="AR143" s="1016"/>
      <c r="AS143" s="1016"/>
      <c r="AT143" s="1016"/>
      <c r="AU143" s="1016"/>
      <c r="AV143" s="1016"/>
      <c r="AW143" s="1016"/>
    </row>
    <row r="144" spans="2:49" x14ac:dyDescent="0.2">
      <c r="B144" s="1029"/>
      <c r="C144" s="1030"/>
      <c r="D144" s="1029"/>
      <c r="E144" s="1032"/>
      <c r="F144" s="1032"/>
      <c r="G144" s="1020"/>
      <c r="H144" s="1659"/>
      <c r="I144" s="1659"/>
      <c r="J144" s="1077" t="str">
        <f t="shared" si="6"/>
        <v/>
      </c>
      <c r="K144" s="1659"/>
      <c r="L144" s="1659"/>
      <c r="M144" s="1078" t="str">
        <f t="shared" si="7"/>
        <v/>
      </c>
      <c r="N144" s="1659"/>
      <c r="O144" s="1659"/>
      <c r="P144" s="1078" t="str">
        <f t="shared" si="8"/>
        <v/>
      </c>
      <c r="Q144" s="1659"/>
      <c r="R144" s="1659"/>
      <c r="S144" s="1078" t="str">
        <f t="shared" si="9"/>
        <v/>
      </c>
      <c r="T144" s="1661"/>
      <c r="U144" s="1659"/>
      <c r="V144" s="1078" t="str">
        <f t="shared" si="10"/>
        <v/>
      </c>
      <c r="W144" s="1016"/>
      <c r="X144" s="1016"/>
      <c r="Y144" s="1016"/>
      <c r="Z144" s="1016"/>
      <c r="AA144" s="1016"/>
      <c r="AB144" s="1016"/>
      <c r="AC144" s="1016"/>
      <c r="AD144" s="1016"/>
      <c r="AE144" s="1016"/>
      <c r="AF144" s="1016"/>
      <c r="AG144" s="1016"/>
      <c r="AH144" s="1016"/>
      <c r="AI144" s="1016"/>
      <c r="AJ144" s="1016"/>
      <c r="AK144" s="1016"/>
      <c r="AL144" s="1016"/>
      <c r="AM144" s="1016"/>
      <c r="AN144" s="1016"/>
      <c r="AO144" s="1016"/>
      <c r="AP144" s="1016"/>
      <c r="AQ144" s="1016"/>
      <c r="AR144" s="1016"/>
      <c r="AS144" s="1016"/>
      <c r="AT144" s="1016"/>
      <c r="AU144" s="1016"/>
      <c r="AV144" s="1016"/>
      <c r="AW144" s="1016"/>
    </row>
    <row r="145" spans="2:49" x14ac:dyDescent="0.2">
      <c r="B145" s="1029"/>
      <c r="C145" s="1030"/>
      <c r="D145" s="1029"/>
      <c r="E145" s="1032"/>
      <c r="F145" s="1032"/>
      <c r="G145" s="1020"/>
      <c r="H145" s="1659"/>
      <c r="I145" s="1659"/>
      <c r="J145" s="1077" t="str">
        <f t="shared" si="6"/>
        <v/>
      </c>
      <c r="K145" s="1659"/>
      <c r="L145" s="1659"/>
      <c r="M145" s="1078" t="str">
        <f t="shared" si="7"/>
        <v/>
      </c>
      <c r="N145" s="1659"/>
      <c r="O145" s="1659"/>
      <c r="P145" s="1078" t="str">
        <f t="shared" si="8"/>
        <v/>
      </c>
      <c r="Q145" s="1659"/>
      <c r="R145" s="1659"/>
      <c r="S145" s="1078" t="str">
        <f t="shared" si="9"/>
        <v/>
      </c>
      <c r="T145" s="1661"/>
      <c r="U145" s="1659"/>
      <c r="V145" s="1078" t="str">
        <f t="shared" si="10"/>
        <v/>
      </c>
      <c r="W145" s="1016"/>
      <c r="X145" s="1016"/>
      <c r="Y145" s="1016"/>
      <c r="Z145" s="1016"/>
      <c r="AA145" s="1016"/>
      <c r="AB145" s="1016"/>
      <c r="AC145" s="1016"/>
      <c r="AD145" s="1016"/>
      <c r="AE145" s="1016"/>
      <c r="AF145" s="1016"/>
      <c r="AG145" s="1016"/>
      <c r="AH145" s="1016"/>
      <c r="AI145" s="1016"/>
      <c r="AJ145" s="1016"/>
      <c r="AK145" s="1016"/>
      <c r="AL145" s="1016"/>
      <c r="AM145" s="1016"/>
      <c r="AN145" s="1016"/>
      <c r="AO145" s="1016"/>
      <c r="AP145" s="1016"/>
      <c r="AQ145" s="1016"/>
      <c r="AR145" s="1016"/>
      <c r="AS145" s="1016"/>
      <c r="AT145" s="1016"/>
      <c r="AU145" s="1016"/>
      <c r="AV145" s="1016"/>
      <c r="AW145" s="1016"/>
    </row>
    <row r="146" spans="2:49" x14ac:dyDescent="0.2">
      <c r="B146" s="1029"/>
      <c r="C146" s="1030"/>
      <c r="D146" s="1029"/>
      <c r="E146" s="1032"/>
      <c r="F146" s="1032"/>
      <c r="G146" s="1020"/>
      <c r="H146" s="1659"/>
      <c r="I146" s="1659"/>
      <c r="J146" s="1077" t="str">
        <f t="shared" si="6"/>
        <v/>
      </c>
      <c r="K146" s="1659"/>
      <c r="L146" s="1659"/>
      <c r="M146" s="1078" t="str">
        <f t="shared" si="7"/>
        <v/>
      </c>
      <c r="N146" s="1659"/>
      <c r="O146" s="1659"/>
      <c r="P146" s="1078" t="str">
        <f t="shared" si="8"/>
        <v/>
      </c>
      <c r="Q146" s="1659"/>
      <c r="R146" s="1659"/>
      <c r="S146" s="1078" t="str">
        <f t="shared" si="9"/>
        <v/>
      </c>
      <c r="T146" s="1661"/>
      <c r="U146" s="1659"/>
      <c r="V146" s="1078" t="str">
        <f t="shared" si="10"/>
        <v/>
      </c>
      <c r="W146" s="1016"/>
      <c r="X146" s="1016"/>
      <c r="Y146" s="1016"/>
      <c r="Z146" s="1016"/>
      <c r="AA146" s="1016"/>
      <c r="AB146" s="1016"/>
      <c r="AC146" s="1016"/>
      <c r="AD146" s="1016"/>
      <c r="AE146" s="1016"/>
      <c r="AF146" s="1016"/>
      <c r="AG146" s="1016"/>
      <c r="AH146" s="1016"/>
      <c r="AI146" s="1016"/>
      <c r="AJ146" s="1016"/>
      <c r="AK146" s="1016"/>
      <c r="AL146" s="1016"/>
      <c r="AM146" s="1016"/>
      <c r="AN146" s="1016"/>
      <c r="AO146" s="1016"/>
      <c r="AP146" s="1016"/>
      <c r="AQ146" s="1016"/>
      <c r="AR146" s="1016"/>
      <c r="AS146" s="1016"/>
      <c r="AT146" s="1016"/>
      <c r="AU146" s="1016"/>
      <c r="AV146" s="1016"/>
      <c r="AW146" s="1016"/>
    </row>
    <row r="147" spans="2:49" x14ac:dyDescent="0.2">
      <c r="B147" s="1029"/>
      <c r="C147" s="1030"/>
      <c r="D147" s="1029"/>
      <c r="E147" s="1032"/>
      <c r="F147" s="1032"/>
      <c r="G147" s="1020"/>
      <c r="H147" s="1659"/>
      <c r="I147" s="1659"/>
      <c r="J147" s="1077" t="str">
        <f t="shared" si="6"/>
        <v/>
      </c>
      <c r="K147" s="1659"/>
      <c r="L147" s="1659"/>
      <c r="M147" s="1078" t="str">
        <f t="shared" si="7"/>
        <v/>
      </c>
      <c r="N147" s="1659"/>
      <c r="O147" s="1659"/>
      <c r="P147" s="1078" t="str">
        <f t="shared" si="8"/>
        <v/>
      </c>
      <c r="Q147" s="1659"/>
      <c r="R147" s="1659"/>
      <c r="S147" s="1078" t="str">
        <f t="shared" si="9"/>
        <v/>
      </c>
      <c r="T147" s="1661"/>
      <c r="U147" s="1659"/>
      <c r="V147" s="1078" t="str">
        <f t="shared" si="10"/>
        <v/>
      </c>
      <c r="W147" s="1016"/>
      <c r="X147" s="1016"/>
      <c r="Y147" s="1016"/>
      <c r="Z147" s="1016"/>
      <c r="AA147" s="1016"/>
      <c r="AB147" s="1016"/>
      <c r="AC147" s="1016"/>
      <c r="AD147" s="1016"/>
      <c r="AE147" s="1016"/>
      <c r="AF147" s="1016"/>
      <c r="AG147" s="1016"/>
      <c r="AH147" s="1016"/>
      <c r="AI147" s="1016"/>
      <c r="AJ147" s="1016"/>
      <c r="AK147" s="1016"/>
      <c r="AL147" s="1016"/>
      <c r="AM147" s="1016"/>
      <c r="AN147" s="1016"/>
      <c r="AO147" s="1016"/>
      <c r="AP147" s="1016"/>
      <c r="AQ147" s="1016"/>
      <c r="AR147" s="1016"/>
      <c r="AS147" s="1016"/>
      <c r="AT147" s="1016"/>
      <c r="AU147" s="1016"/>
      <c r="AV147" s="1016"/>
      <c r="AW147" s="1016"/>
    </row>
    <row r="148" spans="2:49" x14ac:dyDescent="0.2">
      <c r="B148" s="1029"/>
      <c r="C148" s="1030"/>
      <c r="D148" s="1029"/>
      <c r="E148" s="1032"/>
      <c r="F148" s="1032"/>
      <c r="G148" s="1020"/>
      <c r="H148" s="1659"/>
      <c r="I148" s="1659"/>
      <c r="J148" s="1077" t="str">
        <f t="shared" si="6"/>
        <v/>
      </c>
      <c r="K148" s="1659"/>
      <c r="L148" s="1659"/>
      <c r="M148" s="1078" t="str">
        <f t="shared" si="7"/>
        <v/>
      </c>
      <c r="N148" s="1659"/>
      <c r="O148" s="1659"/>
      <c r="P148" s="1078" t="str">
        <f t="shared" si="8"/>
        <v/>
      </c>
      <c r="Q148" s="1659"/>
      <c r="R148" s="1659"/>
      <c r="S148" s="1078" t="str">
        <f t="shared" si="9"/>
        <v/>
      </c>
      <c r="T148" s="1661"/>
      <c r="U148" s="1659"/>
      <c r="V148" s="1078" t="str">
        <f t="shared" si="10"/>
        <v/>
      </c>
      <c r="W148" s="1016"/>
      <c r="X148" s="1016"/>
      <c r="Y148" s="1016"/>
      <c r="Z148" s="1016"/>
      <c r="AA148" s="1016"/>
      <c r="AB148" s="1016"/>
      <c r="AC148" s="1016"/>
      <c r="AD148" s="1016"/>
      <c r="AE148" s="1016"/>
      <c r="AF148" s="1016"/>
      <c r="AG148" s="1016"/>
      <c r="AH148" s="1016"/>
      <c r="AI148" s="1016"/>
      <c r="AJ148" s="1016"/>
      <c r="AK148" s="1016"/>
      <c r="AL148" s="1016"/>
      <c r="AM148" s="1016"/>
      <c r="AN148" s="1016"/>
      <c r="AO148" s="1016"/>
      <c r="AP148" s="1016"/>
      <c r="AQ148" s="1016"/>
      <c r="AR148" s="1016"/>
      <c r="AS148" s="1016"/>
      <c r="AT148" s="1016"/>
      <c r="AU148" s="1016"/>
      <c r="AV148" s="1016"/>
      <c r="AW148" s="1016"/>
    </row>
    <row r="149" spans="2:49" x14ac:dyDescent="0.2">
      <c r="B149" s="1029"/>
      <c r="C149" s="1030"/>
      <c r="D149" s="1029"/>
      <c r="E149" s="1032"/>
      <c r="F149" s="1032"/>
      <c r="G149" s="1020"/>
      <c r="H149" s="1659"/>
      <c r="I149" s="1659"/>
      <c r="J149" s="1077" t="str">
        <f t="shared" si="6"/>
        <v/>
      </c>
      <c r="K149" s="1659"/>
      <c r="L149" s="1659"/>
      <c r="M149" s="1078" t="str">
        <f t="shared" si="7"/>
        <v/>
      </c>
      <c r="N149" s="1659"/>
      <c r="O149" s="1659"/>
      <c r="P149" s="1078" t="str">
        <f t="shared" si="8"/>
        <v/>
      </c>
      <c r="Q149" s="1659"/>
      <c r="R149" s="1659"/>
      <c r="S149" s="1078" t="str">
        <f t="shared" si="9"/>
        <v/>
      </c>
      <c r="T149" s="1661"/>
      <c r="U149" s="1659"/>
      <c r="V149" s="1078" t="str">
        <f t="shared" si="10"/>
        <v/>
      </c>
      <c r="W149" s="1016"/>
      <c r="X149" s="1016"/>
      <c r="Y149" s="1016"/>
      <c r="Z149" s="1016"/>
      <c r="AA149" s="1016"/>
      <c r="AB149" s="1016"/>
      <c r="AC149" s="1016"/>
      <c r="AD149" s="1016"/>
      <c r="AE149" s="1016"/>
      <c r="AF149" s="1016"/>
      <c r="AG149" s="1016"/>
      <c r="AH149" s="1016"/>
      <c r="AI149" s="1016"/>
      <c r="AJ149" s="1016"/>
      <c r="AK149" s="1016"/>
      <c r="AL149" s="1016"/>
      <c r="AM149" s="1016"/>
      <c r="AN149" s="1016"/>
      <c r="AO149" s="1016"/>
      <c r="AP149" s="1016"/>
      <c r="AQ149" s="1016"/>
      <c r="AR149" s="1016"/>
      <c r="AS149" s="1016"/>
      <c r="AT149" s="1016"/>
      <c r="AU149" s="1016"/>
      <c r="AV149" s="1016"/>
      <c r="AW149" s="1016"/>
    </row>
    <row r="150" spans="2:49" x14ac:dyDescent="0.2">
      <c r="B150" s="1029"/>
      <c r="C150" s="1030"/>
      <c r="D150" s="1029"/>
      <c r="E150" s="1032"/>
      <c r="F150" s="1032"/>
      <c r="G150" s="1020"/>
      <c r="H150" s="1659"/>
      <c r="I150" s="1659"/>
      <c r="J150" s="1077" t="str">
        <f t="shared" si="6"/>
        <v/>
      </c>
      <c r="K150" s="1659"/>
      <c r="L150" s="1659"/>
      <c r="M150" s="1078" t="str">
        <f t="shared" si="7"/>
        <v/>
      </c>
      <c r="N150" s="1659"/>
      <c r="O150" s="1659"/>
      <c r="P150" s="1078" t="str">
        <f t="shared" si="8"/>
        <v/>
      </c>
      <c r="Q150" s="1659"/>
      <c r="R150" s="1659"/>
      <c r="S150" s="1078" t="str">
        <f t="shared" si="9"/>
        <v/>
      </c>
      <c r="T150" s="1661"/>
      <c r="U150" s="1659"/>
      <c r="V150" s="1078" t="str">
        <f t="shared" si="10"/>
        <v/>
      </c>
      <c r="W150" s="1016"/>
      <c r="X150" s="1016"/>
      <c r="Y150" s="1016"/>
      <c r="Z150" s="1016"/>
      <c r="AA150" s="1016"/>
      <c r="AB150" s="1016"/>
      <c r="AC150" s="1016"/>
      <c r="AD150" s="1016"/>
      <c r="AE150" s="1016"/>
      <c r="AF150" s="1016"/>
      <c r="AG150" s="1016"/>
      <c r="AH150" s="1016"/>
      <c r="AI150" s="1016"/>
      <c r="AJ150" s="1016"/>
      <c r="AK150" s="1016"/>
      <c r="AL150" s="1016"/>
      <c r="AM150" s="1016"/>
      <c r="AN150" s="1016"/>
      <c r="AO150" s="1016"/>
      <c r="AP150" s="1016"/>
      <c r="AQ150" s="1016"/>
      <c r="AR150" s="1016"/>
      <c r="AS150" s="1016"/>
      <c r="AT150" s="1016"/>
      <c r="AU150" s="1016"/>
      <c r="AV150" s="1016"/>
      <c r="AW150" s="1016"/>
    </row>
    <row r="151" spans="2:49" x14ac:dyDescent="0.2">
      <c r="B151" s="1029"/>
      <c r="C151" s="1030"/>
      <c r="D151" s="1029"/>
      <c r="E151" s="1032"/>
      <c r="F151" s="1032"/>
      <c r="G151" s="1020"/>
      <c r="H151" s="1659"/>
      <c r="I151" s="1659"/>
      <c r="J151" s="1077" t="str">
        <f t="shared" si="6"/>
        <v/>
      </c>
      <c r="K151" s="1659"/>
      <c r="L151" s="1659"/>
      <c r="M151" s="1078" t="str">
        <f t="shared" si="7"/>
        <v/>
      </c>
      <c r="N151" s="1659"/>
      <c r="O151" s="1659"/>
      <c r="P151" s="1078" t="str">
        <f t="shared" si="8"/>
        <v/>
      </c>
      <c r="Q151" s="1659"/>
      <c r="R151" s="1659"/>
      <c r="S151" s="1078" t="str">
        <f t="shared" si="9"/>
        <v/>
      </c>
      <c r="T151" s="1661"/>
      <c r="U151" s="1659"/>
      <c r="V151" s="1078" t="str">
        <f t="shared" si="10"/>
        <v/>
      </c>
      <c r="W151" s="1016"/>
      <c r="X151" s="1016"/>
      <c r="Y151" s="1016"/>
      <c r="Z151" s="1016"/>
      <c r="AA151" s="1016"/>
      <c r="AB151" s="1016"/>
      <c r="AC151" s="1016"/>
      <c r="AD151" s="1016"/>
      <c r="AE151" s="1016"/>
      <c r="AF151" s="1016"/>
      <c r="AG151" s="1016"/>
      <c r="AH151" s="1016"/>
      <c r="AI151" s="1016"/>
      <c r="AJ151" s="1016"/>
      <c r="AK151" s="1016"/>
      <c r="AL151" s="1016"/>
      <c r="AM151" s="1016"/>
      <c r="AN151" s="1016"/>
      <c r="AO151" s="1016"/>
      <c r="AP151" s="1016"/>
      <c r="AQ151" s="1016"/>
      <c r="AR151" s="1016"/>
      <c r="AS151" s="1016"/>
      <c r="AT151" s="1016"/>
      <c r="AU151" s="1016"/>
      <c r="AV151" s="1016"/>
      <c r="AW151" s="1016"/>
    </row>
    <row r="152" spans="2:49" x14ac:dyDescent="0.2">
      <c r="B152" s="1029"/>
      <c r="C152" s="1030"/>
      <c r="D152" s="1029"/>
      <c r="E152" s="1032"/>
      <c r="F152" s="1032"/>
      <c r="G152" s="1020"/>
      <c r="H152" s="1659"/>
      <c r="I152" s="1659"/>
      <c r="J152" s="1077" t="str">
        <f t="shared" si="6"/>
        <v/>
      </c>
      <c r="K152" s="1659"/>
      <c r="L152" s="1659"/>
      <c r="M152" s="1078" t="str">
        <f t="shared" si="7"/>
        <v/>
      </c>
      <c r="N152" s="1659"/>
      <c r="O152" s="1659"/>
      <c r="P152" s="1078" t="str">
        <f t="shared" si="8"/>
        <v/>
      </c>
      <c r="Q152" s="1659"/>
      <c r="R152" s="1659"/>
      <c r="S152" s="1078" t="str">
        <f t="shared" si="9"/>
        <v/>
      </c>
      <c r="T152" s="1661"/>
      <c r="U152" s="1659"/>
      <c r="V152" s="1078" t="str">
        <f t="shared" si="10"/>
        <v/>
      </c>
      <c r="W152" s="1016"/>
      <c r="X152" s="1016"/>
      <c r="Y152" s="1016"/>
      <c r="Z152" s="1016"/>
      <c r="AA152" s="1016"/>
      <c r="AB152" s="1016"/>
      <c r="AC152" s="1016"/>
      <c r="AD152" s="1016"/>
      <c r="AE152" s="1016"/>
      <c r="AF152" s="1016"/>
      <c r="AG152" s="1016"/>
      <c r="AH152" s="1016"/>
      <c r="AI152" s="1016"/>
      <c r="AJ152" s="1016"/>
      <c r="AK152" s="1016"/>
      <c r="AL152" s="1016"/>
      <c r="AM152" s="1016"/>
      <c r="AN152" s="1016"/>
      <c r="AO152" s="1016"/>
      <c r="AP152" s="1016"/>
      <c r="AQ152" s="1016"/>
      <c r="AR152" s="1016"/>
      <c r="AS152" s="1016"/>
      <c r="AT152" s="1016"/>
      <c r="AU152" s="1016"/>
      <c r="AV152" s="1016"/>
      <c r="AW152" s="1016"/>
    </row>
    <row r="153" spans="2:49" x14ac:dyDescent="0.2">
      <c r="B153" s="1029"/>
      <c r="C153" s="1030"/>
      <c r="D153" s="1029"/>
      <c r="E153" s="1032"/>
      <c r="F153" s="1032"/>
      <c r="G153" s="1020"/>
      <c r="H153" s="1659"/>
      <c r="I153" s="1659"/>
      <c r="J153" s="1077" t="str">
        <f t="shared" si="6"/>
        <v/>
      </c>
      <c r="K153" s="1659"/>
      <c r="L153" s="1659"/>
      <c r="M153" s="1078" t="str">
        <f t="shared" si="7"/>
        <v/>
      </c>
      <c r="N153" s="1659"/>
      <c r="O153" s="1659"/>
      <c r="P153" s="1078" t="str">
        <f t="shared" si="8"/>
        <v/>
      </c>
      <c r="Q153" s="1659"/>
      <c r="R153" s="1659"/>
      <c r="S153" s="1078" t="str">
        <f t="shared" si="9"/>
        <v/>
      </c>
      <c r="T153" s="1661"/>
      <c r="U153" s="1659"/>
      <c r="V153" s="1078" t="str">
        <f t="shared" si="10"/>
        <v/>
      </c>
      <c r="W153" s="1016"/>
      <c r="X153" s="1016"/>
      <c r="Y153" s="1016"/>
      <c r="Z153" s="1016"/>
      <c r="AA153" s="1016"/>
      <c r="AB153" s="1016"/>
      <c r="AC153" s="1016"/>
      <c r="AD153" s="1016"/>
      <c r="AE153" s="1016"/>
      <c r="AF153" s="1016"/>
      <c r="AG153" s="1016"/>
      <c r="AH153" s="1016"/>
      <c r="AI153" s="1016"/>
      <c r="AJ153" s="1016"/>
      <c r="AK153" s="1016"/>
      <c r="AL153" s="1016"/>
      <c r="AM153" s="1016"/>
      <c r="AN153" s="1016"/>
      <c r="AO153" s="1016"/>
      <c r="AP153" s="1016"/>
      <c r="AQ153" s="1016"/>
      <c r="AR153" s="1016"/>
      <c r="AS153" s="1016"/>
      <c r="AT153" s="1016"/>
      <c r="AU153" s="1016"/>
      <c r="AV153" s="1016"/>
      <c r="AW153" s="1016"/>
    </row>
    <row r="154" spans="2:49" x14ac:dyDescent="0.2">
      <c r="B154" s="1029"/>
      <c r="C154" s="1030"/>
      <c r="D154" s="1029"/>
      <c r="E154" s="1032"/>
      <c r="F154" s="1032"/>
      <c r="G154" s="1020"/>
      <c r="H154" s="1659"/>
      <c r="I154" s="1659"/>
      <c r="J154" s="1077" t="str">
        <f t="shared" ref="J154:J217" si="11">IF(AND(H154=0,I154=0),"",IF(I154&lt;&gt;0,IF(I154&gt;H154,100,I154/H154*100),0))</f>
        <v/>
      </c>
      <c r="K154" s="1659"/>
      <c r="L154" s="1659"/>
      <c r="M154" s="1078" t="str">
        <f t="shared" ref="M154:M217" si="12">IF(AND(K154=0,L154=0),"",IF(L154&lt;&gt;0,IF(L154&gt;K154,100,L154/K154*100),0))</f>
        <v/>
      </c>
      <c r="N154" s="1659"/>
      <c r="O154" s="1659"/>
      <c r="P154" s="1078" t="str">
        <f t="shared" ref="P154:P217" si="13">IF(AND(N154=0,O154=0),"",IF(O154&lt;&gt;0,IF(O154&gt;N154,100,O154/N154*100),0))</f>
        <v/>
      </c>
      <c r="Q154" s="1659"/>
      <c r="R154" s="1659"/>
      <c r="S154" s="1078" t="str">
        <f t="shared" ref="S154:S217" si="14">IF(AND(Q154=0,R154=0),"",IF(R154&lt;&gt;0,IF(R154&lt;=Q154,100,100-(R154-Q154)),0))</f>
        <v/>
      </c>
      <c r="T154" s="1661"/>
      <c r="U154" s="1659"/>
      <c r="V154" s="1078" t="str">
        <f t="shared" ref="V154:V217" si="15">IF(AND(T154=0,U154=0),"",IF(U154&lt;&gt;0,IF(U154&gt;T154,100,U154/T154*100),0))</f>
        <v/>
      </c>
      <c r="W154" s="1016"/>
      <c r="X154" s="1016"/>
      <c r="Y154" s="1016"/>
      <c r="Z154" s="1016"/>
      <c r="AA154" s="1016"/>
      <c r="AB154" s="1016"/>
      <c r="AC154" s="1016"/>
      <c r="AD154" s="1016"/>
      <c r="AE154" s="1016"/>
      <c r="AF154" s="1016"/>
      <c r="AG154" s="1016"/>
      <c r="AH154" s="1016"/>
      <c r="AI154" s="1016"/>
      <c r="AJ154" s="1016"/>
      <c r="AK154" s="1016"/>
      <c r="AL154" s="1016"/>
      <c r="AM154" s="1016"/>
      <c r="AN154" s="1016"/>
      <c r="AO154" s="1016"/>
      <c r="AP154" s="1016"/>
      <c r="AQ154" s="1016"/>
      <c r="AR154" s="1016"/>
      <c r="AS154" s="1016"/>
      <c r="AT154" s="1016"/>
      <c r="AU154" s="1016"/>
      <c r="AV154" s="1016"/>
      <c r="AW154" s="1016"/>
    </row>
    <row r="155" spans="2:49" x14ac:dyDescent="0.2">
      <c r="B155" s="1029"/>
      <c r="C155" s="1030"/>
      <c r="D155" s="1029"/>
      <c r="E155" s="1032"/>
      <c r="F155" s="1032"/>
      <c r="G155" s="1020"/>
      <c r="H155" s="1659"/>
      <c r="I155" s="1659"/>
      <c r="J155" s="1077" t="str">
        <f t="shared" si="11"/>
        <v/>
      </c>
      <c r="K155" s="1659"/>
      <c r="L155" s="1659"/>
      <c r="M155" s="1078" t="str">
        <f t="shared" si="12"/>
        <v/>
      </c>
      <c r="N155" s="1659"/>
      <c r="O155" s="1659"/>
      <c r="P155" s="1078" t="str">
        <f t="shared" si="13"/>
        <v/>
      </c>
      <c r="Q155" s="1659"/>
      <c r="R155" s="1659"/>
      <c r="S155" s="1078" t="str">
        <f t="shared" si="14"/>
        <v/>
      </c>
      <c r="T155" s="1661"/>
      <c r="U155" s="1659"/>
      <c r="V155" s="1078" t="str">
        <f t="shared" si="15"/>
        <v/>
      </c>
      <c r="W155" s="1016"/>
      <c r="X155" s="1016"/>
      <c r="Y155" s="1016"/>
      <c r="Z155" s="1016"/>
      <c r="AA155" s="1016"/>
      <c r="AB155" s="1016"/>
      <c r="AC155" s="1016"/>
      <c r="AD155" s="1016"/>
      <c r="AE155" s="1016"/>
      <c r="AF155" s="1016"/>
      <c r="AG155" s="1016"/>
      <c r="AH155" s="1016"/>
      <c r="AI155" s="1016"/>
      <c r="AJ155" s="1016"/>
      <c r="AK155" s="1016"/>
      <c r="AL155" s="1016"/>
      <c r="AM155" s="1016"/>
      <c r="AN155" s="1016"/>
      <c r="AO155" s="1016"/>
      <c r="AP155" s="1016"/>
      <c r="AQ155" s="1016"/>
      <c r="AR155" s="1016"/>
      <c r="AS155" s="1016"/>
      <c r="AT155" s="1016"/>
      <c r="AU155" s="1016"/>
      <c r="AV155" s="1016"/>
      <c r="AW155" s="1016"/>
    </row>
    <row r="156" spans="2:49" x14ac:dyDescent="0.2">
      <c r="B156" s="1029"/>
      <c r="C156" s="1030"/>
      <c r="D156" s="1029"/>
      <c r="E156" s="1032"/>
      <c r="F156" s="1032"/>
      <c r="G156" s="1020"/>
      <c r="H156" s="1659"/>
      <c r="I156" s="1659"/>
      <c r="J156" s="1077" t="str">
        <f t="shared" si="11"/>
        <v/>
      </c>
      <c r="K156" s="1659"/>
      <c r="L156" s="1659"/>
      <c r="M156" s="1078" t="str">
        <f t="shared" si="12"/>
        <v/>
      </c>
      <c r="N156" s="1659"/>
      <c r="O156" s="1659"/>
      <c r="P156" s="1078" t="str">
        <f t="shared" si="13"/>
        <v/>
      </c>
      <c r="Q156" s="1659"/>
      <c r="R156" s="1659"/>
      <c r="S156" s="1078" t="str">
        <f t="shared" si="14"/>
        <v/>
      </c>
      <c r="T156" s="1661"/>
      <c r="U156" s="1659"/>
      <c r="V156" s="1078" t="str">
        <f t="shared" si="15"/>
        <v/>
      </c>
      <c r="W156" s="1016"/>
      <c r="X156" s="1016"/>
      <c r="Y156" s="1016"/>
      <c r="Z156" s="1016"/>
      <c r="AA156" s="1016"/>
      <c r="AB156" s="1016"/>
      <c r="AC156" s="1016"/>
      <c r="AD156" s="1016"/>
      <c r="AE156" s="1016"/>
      <c r="AF156" s="1016"/>
      <c r="AG156" s="1016"/>
      <c r="AH156" s="1016"/>
      <c r="AI156" s="1016"/>
      <c r="AJ156" s="1016"/>
      <c r="AK156" s="1016"/>
      <c r="AL156" s="1016"/>
      <c r="AM156" s="1016"/>
      <c r="AN156" s="1016"/>
      <c r="AO156" s="1016"/>
      <c r="AP156" s="1016"/>
      <c r="AQ156" s="1016"/>
      <c r="AR156" s="1016"/>
      <c r="AS156" s="1016"/>
      <c r="AT156" s="1016"/>
      <c r="AU156" s="1016"/>
      <c r="AV156" s="1016"/>
      <c r="AW156" s="1016"/>
    </row>
    <row r="157" spans="2:49" x14ac:dyDescent="0.2">
      <c r="B157" s="1029"/>
      <c r="C157" s="1030"/>
      <c r="D157" s="1029"/>
      <c r="E157" s="1032"/>
      <c r="F157" s="1032"/>
      <c r="G157" s="1020"/>
      <c r="H157" s="1659"/>
      <c r="I157" s="1659"/>
      <c r="J157" s="1077" t="str">
        <f t="shared" si="11"/>
        <v/>
      </c>
      <c r="K157" s="1659"/>
      <c r="L157" s="1659"/>
      <c r="M157" s="1078" t="str">
        <f t="shared" si="12"/>
        <v/>
      </c>
      <c r="N157" s="1659"/>
      <c r="O157" s="1659"/>
      <c r="P157" s="1078" t="str">
        <f t="shared" si="13"/>
        <v/>
      </c>
      <c r="Q157" s="1659"/>
      <c r="R157" s="1659"/>
      <c r="S157" s="1078" t="str">
        <f t="shared" si="14"/>
        <v/>
      </c>
      <c r="T157" s="1661"/>
      <c r="U157" s="1659"/>
      <c r="V157" s="1078" t="str">
        <f t="shared" si="15"/>
        <v/>
      </c>
      <c r="W157" s="1016"/>
      <c r="X157" s="1016"/>
      <c r="Y157" s="1016"/>
      <c r="Z157" s="1016"/>
      <c r="AA157" s="1016"/>
      <c r="AB157" s="1016"/>
      <c r="AC157" s="1016"/>
      <c r="AD157" s="1016"/>
      <c r="AE157" s="1016"/>
      <c r="AF157" s="1016"/>
      <c r="AG157" s="1016"/>
      <c r="AH157" s="1016"/>
      <c r="AI157" s="1016"/>
      <c r="AJ157" s="1016"/>
      <c r="AK157" s="1016"/>
      <c r="AL157" s="1016"/>
      <c r="AM157" s="1016"/>
      <c r="AN157" s="1016"/>
      <c r="AO157" s="1016"/>
      <c r="AP157" s="1016"/>
      <c r="AQ157" s="1016"/>
      <c r="AR157" s="1016"/>
      <c r="AS157" s="1016"/>
      <c r="AT157" s="1016"/>
      <c r="AU157" s="1016"/>
      <c r="AV157" s="1016"/>
      <c r="AW157" s="1016"/>
    </row>
    <row r="158" spans="2:49" x14ac:dyDescent="0.2">
      <c r="B158" s="1029"/>
      <c r="C158" s="1030"/>
      <c r="D158" s="1029"/>
      <c r="E158" s="1032"/>
      <c r="F158" s="1032"/>
      <c r="G158" s="1020"/>
      <c r="H158" s="1659"/>
      <c r="I158" s="1659"/>
      <c r="J158" s="1077" t="str">
        <f t="shared" si="11"/>
        <v/>
      </c>
      <c r="K158" s="1659"/>
      <c r="L158" s="1659"/>
      <c r="M158" s="1078" t="str">
        <f t="shared" si="12"/>
        <v/>
      </c>
      <c r="N158" s="1659"/>
      <c r="O158" s="1659"/>
      <c r="P158" s="1078" t="str">
        <f t="shared" si="13"/>
        <v/>
      </c>
      <c r="Q158" s="1659"/>
      <c r="R158" s="1659"/>
      <c r="S158" s="1078" t="str">
        <f t="shared" si="14"/>
        <v/>
      </c>
      <c r="T158" s="1661"/>
      <c r="U158" s="1659"/>
      <c r="V158" s="1078" t="str">
        <f t="shared" si="15"/>
        <v/>
      </c>
      <c r="W158" s="1016"/>
      <c r="X158" s="1016"/>
      <c r="Y158" s="1016"/>
      <c r="Z158" s="1016"/>
      <c r="AA158" s="1016"/>
      <c r="AB158" s="1016"/>
      <c r="AC158" s="1016"/>
      <c r="AD158" s="1016"/>
      <c r="AE158" s="1016"/>
      <c r="AF158" s="1016"/>
      <c r="AG158" s="1016"/>
      <c r="AH158" s="1016"/>
      <c r="AI158" s="1016"/>
      <c r="AJ158" s="1016"/>
      <c r="AK158" s="1016"/>
      <c r="AL158" s="1016"/>
      <c r="AM158" s="1016"/>
      <c r="AN158" s="1016"/>
      <c r="AO158" s="1016"/>
      <c r="AP158" s="1016"/>
      <c r="AQ158" s="1016"/>
      <c r="AR158" s="1016"/>
      <c r="AS158" s="1016"/>
      <c r="AT158" s="1016"/>
      <c r="AU158" s="1016"/>
      <c r="AV158" s="1016"/>
      <c r="AW158" s="1016"/>
    </row>
    <row r="159" spans="2:49" x14ac:dyDescent="0.2">
      <c r="B159" s="1029"/>
      <c r="C159" s="1030"/>
      <c r="D159" s="1029"/>
      <c r="E159" s="1032"/>
      <c r="F159" s="1032"/>
      <c r="G159" s="1020"/>
      <c r="H159" s="1659"/>
      <c r="I159" s="1659"/>
      <c r="J159" s="1077" t="str">
        <f t="shared" si="11"/>
        <v/>
      </c>
      <c r="K159" s="1659"/>
      <c r="L159" s="1659"/>
      <c r="M159" s="1078" t="str">
        <f t="shared" si="12"/>
        <v/>
      </c>
      <c r="N159" s="1659"/>
      <c r="O159" s="1659"/>
      <c r="P159" s="1078" t="str">
        <f t="shared" si="13"/>
        <v/>
      </c>
      <c r="Q159" s="1659"/>
      <c r="R159" s="1659"/>
      <c r="S159" s="1078" t="str">
        <f t="shared" si="14"/>
        <v/>
      </c>
      <c r="T159" s="1661"/>
      <c r="U159" s="1659"/>
      <c r="V159" s="1078" t="str">
        <f t="shared" si="15"/>
        <v/>
      </c>
      <c r="W159" s="1016"/>
      <c r="X159" s="1016"/>
      <c r="Y159" s="1016"/>
      <c r="Z159" s="1016"/>
      <c r="AA159" s="1016"/>
      <c r="AB159" s="1016"/>
      <c r="AC159" s="1016"/>
      <c r="AD159" s="1016"/>
      <c r="AE159" s="1016"/>
      <c r="AF159" s="1016"/>
      <c r="AG159" s="1016"/>
      <c r="AH159" s="1016"/>
      <c r="AI159" s="1016"/>
      <c r="AJ159" s="1016"/>
      <c r="AK159" s="1016"/>
      <c r="AL159" s="1016"/>
      <c r="AM159" s="1016"/>
      <c r="AN159" s="1016"/>
      <c r="AO159" s="1016"/>
      <c r="AP159" s="1016"/>
      <c r="AQ159" s="1016"/>
      <c r="AR159" s="1016"/>
      <c r="AS159" s="1016"/>
      <c r="AT159" s="1016"/>
      <c r="AU159" s="1016"/>
      <c r="AV159" s="1016"/>
      <c r="AW159" s="1016"/>
    </row>
    <row r="160" spans="2:49" x14ac:dyDescent="0.2">
      <c r="B160" s="1029"/>
      <c r="C160" s="1030"/>
      <c r="D160" s="1029"/>
      <c r="E160" s="1032"/>
      <c r="F160" s="1032"/>
      <c r="G160" s="1020"/>
      <c r="H160" s="1659"/>
      <c r="I160" s="1659"/>
      <c r="J160" s="1077" t="str">
        <f t="shared" si="11"/>
        <v/>
      </c>
      <c r="K160" s="1659"/>
      <c r="L160" s="1659"/>
      <c r="M160" s="1078" t="str">
        <f t="shared" si="12"/>
        <v/>
      </c>
      <c r="N160" s="1659"/>
      <c r="O160" s="1659"/>
      <c r="P160" s="1078" t="str">
        <f t="shared" si="13"/>
        <v/>
      </c>
      <c r="Q160" s="1659"/>
      <c r="R160" s="1659"/>
      <c r="S160" s="1078" t="str">
        <f t="shared" si="14"/>
        <v/>
      </c>
      <c r="T160" s="1661"/>
      <c r="U160" s="1659"/>
      <c r="V160" s="1078" t="str">
        <f t="shared" si="15"/>
        <v/>
      </c>
      <c r="W160" s="1016"/>
      <c r="X160" s="1016"/>
      <c r="Y160" s="1016"/>
      <c r="Z160" s="1016"/>
      <c r="AA160" s="1016"/>
      <c r="AB160" s="1016"/>
      <c r="AC160" s="1016"/>
      <c r="AD160" s="1016"/>
      <c r="AE160" s="1016"/>
      <c r="AF160" s="1016"/>
      <c r="AG160" s="1016"/>
      <c r="AH160" s="1016"/>
      <c r="AI160" s="1016"/>
      <c r="AJ160" s="1016"/>
      <c r="AK160" s="1016"/>
      <c r="AL160" s="1016"/>
      <c r="AM160" s="1016"/>
      <c r="AN160" s="1016"/>
      <c r="AO160" s="1016"/>
      <c r="AP160" s="1016"/>
      <c r="AQ160" s="1016"/>
      <c r="AR160" s="1016"/>
      <c r="AS160" s="1016"/>
      <c r="AT160" s="1016"/>
      <c r="AU160" s="1016"/>
      <c r="AV160" s="1016"/>
      <c r="AW160" s="1016"/>
    </row>
    <row r="161" spans="2:49" x14ac:dyDescent="0.2">
      <c r="B161" s="1029"/>
      <c r="C161" s="1030"/>
      <c r="D161" s="1029"/>
      <c r="E161" s="1032"/>
      <c r="F161" s="1032"/>
      <c r="G161" s="1020"/>
      <c r="H161" s="1659"/>
      <c r="I161" s="1659"/>
      <c r="J161" s="1077" t="str">
        <f t="shared" si="11"/>
        <v/>
      </c>
      <c r="K161" s="1659"/>
      <c r="L161" s="1659"/>
      <c r="M161" s="1078" t="str">
        <f t="shared" si="12"/>
        <v/>
      </c>
      <c r="N161" s="1659"/>
      <c r="O161" s="1659"/>
      <c r="P161" s="1078" t="str">
        <f t="shared" si="13"/>
        <v/>
      </c>
      <c r="Q161" s="1659"/>
      <c r="R161" s="1659"/>
      <c r="S161" s="1078" t="str">
        <f t="shared" si="14"/>
        <v/>
      </c>
      <c r="T161" s="1661"/>
      <c r="U161" s="1659"/>
      <c r="V161" s="1078" t="str">
        <f t="shared" si="15"/>
        <v/>
      </c>
      <c r="W161" s="1016"/>
      <c r="X161" s="1016"/>
      <c r="Y161" s="1016"/>
      <c r="Z161" s="1016"/>
      <c r="AA161" s="1016"/>
      <c r="AB161" s="1016"/>
      <c r="AC161" s="1016"/>
      <c r="AD161" s="1016"/>
      <c r="AE161" s="1016"/>
      <c r="AF161" s="1016"/>
      <c r="AG161" s="1016"/>
      <c r="AH161" s="1016"/>
      <c r="AI161" s="1016"/>
      <c r="AJ161" s="1016"/>
      <c r="AK161" s="1016"/>
      <c r="AL161" s="1016"/>
      <c r="AM161" s="1016"/>
      <c r="AN161" s="1016"/>
      <c r="AO161" s="1016"/>
      <c r="AP161" s="1016"/>
      <c r="AQ161" s="1016"/>
      <c r="AR161" s="1016"/>
      <c r="AS161" s="1016"/>
      <c r="AT161" s="1016"/>
      <c r="AU161" s="1016"/>
      <c r="AV161" s="1016"/>
      <c r="AW161" s="1016"/>
    </row>
    <row r="162" spans="2:49" x14ac:dyDescent="0.2">
      <c r="B162" s="1029"/>
      <c r="C162" s="1030"/>
      <c r="D162" s="1029"/>
      <c r="E162" s="1032"/>
      <c r="F162" s="1032"/>
      <c r="G162" s="1020"/>
      <c r="H162" s="1659"/>
      <c r="I162" s="1659"/>
      <c r="J162" s="1077" t="str">
        <f t="shared" si="11"/>
        <v/>
      </c>
      <c r="K162" s="1659"/>
      <c r="L162" s="1659"/>
      <c r="M162" s="1078" t="str">
        <f t="shared" si="12"/>
        <v/>
      </c>
      <c r="N162" s="1659"/>
      <c r="O162" s="1659"/>
      <c r="P162" s="1078" t="str">
        <f t="shared" si="13"/>
        <v/>
      </c>
      <c r="Q162" s="1659"/>
      <c r="R162" s="1659"/>
      <c r="S162" s="1078" t="str">
        <f t="shared" si="14"/>
        <v/>
      </c>
      <c r="T162" s="1661"/>
      <c r="U162" s="1659"/>
      <c r="V162" s="1078" t="str">
        <f t="shared" si="15"/>
        <v/>
      </c>
      <c r="W162" s="1016"/>
      <c r="X162" s="1016"/>
      <c r="Y162" s="1016"/>
      <c r="Z162" s="1016"/>
      <c r="AA162" s="1016"/>
      <c r="AB162" s="1016"/>
      <c r="AC162" s="1016"/>
      <c r="AD162" s="1016"/>
      <c r="AE162" s="1016"/>
      <c r="AF162" s="1016"/>
      <c r="AG162" s="1016"/>
      <c r="AH162" s="1016"/>
      <c r="AI162" s="1016"/>
      <c r="AJ162" s="1016"/>
      <c r="AK162" s="1016"/>
      <c r="AL162" s="1016"/>
      <c r="AM162" s="1016"/>
      <c r="AN162" s="1016"/>
      <c r="AO162" s="1016"/>
      <c r="AP162" s="1016"/>
      <c r="AQ162" s="1016"/>
      <c r="AR162" s="1016"/>
      <c r="AS162" s="1016"/>
      <c r="AT162" s="1016"/>
      <c r="AU162" s="1016"/>
      <c r="AV162" s="1016"/>
      <c r="AW162" s="1016"/>
    </row>
    <row r="163" spans="2:49" x14ac:dyDescent="0.2">
      <c r="B163" s="1029"/>
      <c r="C163" s="1030"/>
      <c r="D163" s="1029"/>
      <c r="E163" s="1032"/>
      <c r="F163" s="1032"/>
      <c r="G163" s="1020"/>
      <c r="H163" s="1659"/>
      <c r="I163" s="1659"/>
      <c r="J163" s="1077" t="str">
        <f t="shared" si="11"/>
        <v/>
      </c>
      <c r="K163" s="1659"/>
      <c r="L163" s="1659"/>
      <c r="M163" s="1078" t="str">
        <f t="shared" si="12"/>
        <v/>
      </c>
      <c r="N163" s="1659"/>
      <c r="O163" s="1659"/>
      <c r="P163" s="1078" t="str">
        <f t="shared" si="13"/>
        <v/>
      </c>
      <c r="Q163" s="1659"/>
      <c r="R163" s="1659"/>
      <c r="S163" s="1078" t="str">
        <f t="shared" si="14"/>
        <v/>
      </c>
      <c r="T163" s="1661"/>
      <c r="U163" s="1659"/>
      <c r="V163" s="1078" t="str">
        <f t="shared" si="15"/>
        <v/>
      </c>
      <c r="W163" s="1016"/>
      <c r="X163" s="1016"/>
      <c r="Y163" s="1016"/>
      <c r="Z163" s="1016"/>
      <c r="AA163" s="1016"/>
      <c r="AB163" s="1016"/>
      <c r="AC163" s="1016"/>
      <c r="AD163" s="1016"/>
      <c r="AE163" s="1016"/>
      <c r="AF163" s="1016"/>
      <c r="AG163" s="1016"/>
      <c r="AH163" s="1016"/>
      <c r="AI163" s="1016"/>
      <c r="AJ163" s="1016"/>
      <c r="AK163" s="1016"/>
      <c r="AL163" s="1016"/>
      <c r="AM163" s="1016"/>
      <c r="AN163" s="1016"/>
      <c r="AO163" s="1016"/>
      <c r="AP163" s="1016"/>
      <c r="AQ163" s="1016"/>
      <c r="AR163" s="1016"/>
      <c r="AS163" s="1016"/>
      <c r="AT163" s="1016"/>
      <c r="AU163" s="1016"/>
      <c r="AV163" s="1016"/>
      <c r="AW163" s="1016"/>
    </row>
    <row r="164" spans="2:49" x14ac:dyDescent="0.2">
      <c r="B164" s="1029"/>
      <c r="C164" s="1030"/>
      <c r="D164" s="1029"/>
      <c r="E164" s="1032"/>
      <c r="F164" s="1032"/>
      <c r="G164" s="1020"/>
      <c r="H164" s="1659"/>
      <c r="I164" s="1659"/>
      <c r="J164" s="1077" t="str">
        <f t="shared" si="11"/>
        <v/>
      </c>
      <c r="K164" s="1659"/>
      <c r="L164" s="1659"/>
      <c r="M164" s="1078" t="str">
        <f t="shared" si="12"/>
        <v/>
      </c>
      <c r="N164" s="1659"/>
      <c r="O164" s="1659"/>
      <c r="P164" s="1078" t="str">
        <f t="shared" si="13"/>
        <v/>
      </c>
      <c r="Q164" s="1659"/>
      <c r="R164" s="1659"/>
      <c r="S164" s="1078" t="str">
        <f t="shared" si="14"/>
        <v/>
      </c>
      <c r="T164" s="1661"/>
      <c r="U164" s="1659"/>
      <c r="V164" s="1078" t="str">
        <f t="shared" si="15"/>
        <v/>
      </c>
      <c r="W164" s="1016"/>
      <c r="X164" s="1016"/>
      <c r="Y164" s="1016"/>
      <c r="Z164" s="1016"/>
      <c r="AA164" s="1016"/>
      <c r="AB164" s="1016"/>
      <c r="AC164" s="1016"/>
      <c r="AD164" s="1016"/>
      <c r="AE164" s="1016"/>
      <c r="AF164" s="1016"/>
      <c r="AG164" s="1016"/>
      <c r="AH164" s="1016"/>
      <c r="AI164" s="1016"/>
      <c r="AJ164" s="1016"/>
      <c r="AK164" s="1016"/>
      <c r="AL164" s="1016"/>
      <c r="AM164" s="1016"/>
      <c r="AN164" s="1016"/>
      <c r="AO164" s="1016"/>
      <c r="AP164" s="1016"/>
      <c r="AQ164" s="1016"/>
      <c r="AR164" s="1016"/>
      <c r="AS164" s="1016"/>
      <c r="AT164" s="1016"/>
      <c r="AU164" s="1016"/>
      <c r="AV164" s="1016"/>
      <c r="AW164" s="1016"/>
    </row>
    <row r="165" spans="2:49" x14ac:dyDescent="0.2">
      <c r="B165" s="1029"/>
      <c r="C165" s="1030"/>
      <c r="D165" s="1029"/>
      <c r="E165" s="1032"/>
      <c r="F165" s="1032"/>
      <c r="G165" s="1020"/>
      <c r="H165" s="1659"/>
      <c r="I165" s="1659"/>
      <c r="J165" s="1077" t="str">
        <f t="shared" si="11"/>
        <v/>
      </c>
      <c r="K165" s="1659"/>
      <c r="L165" s="1659"/>
      <c r="M165" s="1078" t="str">
        <f t="shared" si="12"/>
        <v/>
      </c>
      <c r="N165" s="1659"/>
      <c r="O165" s="1659"/>
      <c r="P165" s="1078" t="str">
        <f t="shared" si="13"/>
        <v/>
      </c>
      <c r="Q165" s="1659"/>
      <c r="R165" s="1659"/>
      <c r="S165" s="1078" t="str">
        <f t="shared" si="14"/>
        <v/>
      </c>
      <c r="T165" s="1661"/>
      <c r="U165" s="1659"/>
      <c r="V165" s="1078" t="str">
        <f t="shared" si="15"/>
        <v/>
      </c>
      <c r="W165" s="1016"/>
      <c r="X165" s="1016"/>
      <c r="Y165" s="1016"/>
      <c r="Z165" s="1016"/>
      <c r="AA165" s="1016"/>
      <c r="AB165" s="1016"/>
      <c r="AC165" s="1016"/>
      <c r="AD165" s="1016"/>
      <c r="AE165" s="1016"/>
      <c r="AF165" s="1016"/>
      <c r="AG165" s="1016"/>
      <c r="AH165" s="1016"/>
      <c r="AI165" s="1016"/>
      <c r="AJ165" s="1016"/>
      <c r="AK165" s="1016"/>
      <c r="AL165" s="1016"/>
      <c r="AM165" s="1016"/>
      <c r="AN165" s="1016"/>
      <c r="AO165" s="1016"/>
      <c r="AP165" s="1016"/>
      <c r="AQ165" s="1016"/>
      <c r="AR165" s="1016"/>
      <c r="AS165" s="1016"/>
      <c r="AT165" s="1016"/>
      <c r="AU165" s="1016"/>
      <c r="AV165" s="1016"/>
      <c r="AW165" s="1016"/>
    </row>
    <row r="166" spans="2:49" x14ac:dyDescent="0.2">
      <c r="B166" s="1029"/>
      <c r="C166" s="1030"/>
      <c r="D166" s="1029"/>
      <c r="E166" s="1032"/>
      <c r="F166" s="1032"/>
      <c r="G166" s="1020"/>
      <c r="H166" s="1659"/>
      <c r="I166" s="1659"/>
      <c r="J166" s="1077" t="str">
        <f t="shared" si="11"/>
        <v/>
      </c>
      <c r="K166" s="1659"/>
      <c r="L166" s="1659"/>
      <c r="M166" s="1078" t="str">
        <f t="shared" si="12"/>
        <v/>
      </c>
      <c r="N166" s="1659"/>
      <c r="O166" s="1659"/>
      <c r="P166" s="1078" t="str">
        <f t="shared" si="13"/>
        <v/>
      </c>
      <c r="Q166" s="1659"/>
      <c r="R166" s="1659"/>
      <c r="S166" s="1078" t="str">
        <f t="shared" si="14"/>
        <v/>
      </c>
      <c r="T166" s="1661"/>
      <c r="U166" s="1659"/>
      <c r="V166" s="1078" t="str">
        <f t="shared" si="15"/>
        <v/>
      </c>
      <c r="W166" s="1016"/>
      <c r="X166" s="1016"/>
      <c r="Y166" s="1016"/>
      <c r="Z166" s="1016"/>
      <c r="AA166" s="1016"/>
      <c r="AB166" s="1016"/>
      <c r="AC166" s="1016"/>
      <c r="AD166" s="1016"/>
      <c r="AE166" s="1016"/>
      <c r="AF166" s="1016"/>
      <c r="AG166" s="1016"/>
      <c r="AH166" s="1016"/>
      <c r="AI166" s="1016"/>
      <c r="AJ166" s="1016"/>
      <c r="AK166" s="1016"/>
      <c r="AL166" s="1016"/>
      <c r="AM166" s="1016"/>
      <c r="AN166" s="1016"/>
      <c r="AO166" s="1016"/>
      <c r="AP166" s="1016"/>
      <c r="AQ166" s="1016"/>
      <c r="AR166" s="1016"/>
      <c r="AS166" s="1016"/>
      <c r="AT166" s="1016"/>
      <c r="AU166" s="1016"/>
      <c r="AV166" s="1016"/>
      <c r="AW166" s="1016"/>
    </row>
    <row r="167" spans="2:49" x14ac:dyDescent="0.2">
      <c r="B167" s="1029"/>
      <c r="C167" s="1030"/>
      <c r="D167" s="1029"/>
      <c r="E167" s="1032"/>
      <c r="F167" s="1032"/>
      <c r="G167" s="1020"/>
      <c r="H167" s="1659"/>
      <c r="I167" s="1659"/>
      <c r="J167" s="1077" t="str">
        <f t="shared" si="11"/>
        <v/>
      </c>
      <c r="K167" s="1659"/>
      <c r="L167" s="1659"/>
      <c r="M167" s="1078" t="str">
        <f t="shared" si="12"/>
        <v/>
      </c>
      <c r="N167" s="1659"/>
      <c r="O167" s="1659"/>
      <c r="P167" s="1078" t="str">
        <f t="shared" si="13"/>
        <v/>
      </c>
      <c r="Q167" s="1659"/>
      <c r="R167" s="1659"/>
      <c r="S167" s="1078" t="str">
        <f t="shared" si="14"/>
        <v/>
      </c>
      <c r="T167" s="1661"/>
      <c r="U167" s="1659"/>
      <c r="V167" s="1078" t="str">
        <f t="shared" si="15"/>
        <v/>
      </c>
      <c r="W167" s="1016"/>
      <c r="X167" s="1016"/>
      <c r="Y167" s="1016"/>
      <c r="Z167" s="1016"/>
      <c r="AA167" s="1016"/>
      <c r="AB167" s="1016"/>
      <c r="AC167" s="1016"/>
      <c r="AD167" s="1016"/>
      <c r="AE167" s="1016"/>
      <c r="AF167" s="1016"/>
      <c r="AG167" s="1016"/>
      <c r="AH167" s="1016"/>
      <c r="AI167" s="1016"/>
      <c r="AJ167" s="1016"/>
      <c r="AK167" s="1016"/>
      <c r="AL167" s="1016"/>
      <c r="AM167" s="1016"/>
      <c r="AN167" s="1016"/>
      <c r="AO167" s="1016"/>
      <c r="AP167" s="1016"/>
      <c r="AQ167" s="1016"/>
      <c r="AR167" s="1016"/>
      <c r="AS167" s="1016"/>
      <c r="AT167" s="1016"/>
      <c r="AU167" s="1016"/>
      <c r="AV167" s="1016"/>
      <c r="AW167" s="1016"/>
    </row>
    <row r="168" spans="2:49" x14ac:dyDescent="0.2">
      <c r="B168" s="1029"/>
      <c r="C168" s="1030"/>
      <c r="D168" s="1029"/>
      <c r="E168" s="1032"/>
      <c r="F168" s="1032"/>
      <c r="G168" s="1020"/>
      <c r="H168" s="1659"/>
      <c r="I168" s="1659"/>
      <c r="J168" s="1077" t="str">
        <f t="shared" si="11"/>
        <v/>
      </c>
      <c r="K168" s="1659"/>
      <c r="L168" s="1659"/>
      <c r="M168" s="1078" t="str">
        <f t="shared" si="12"/>
        <v/>
      </c>
      <c r="N168" s="1659"/>
      <c r="O168" s="1659"/>
      <c r="P168" s="1078" t="str">
        <f t="shared" si="13"/>
        <v/>
      </c>
      <c r="Q168" s="1659"/>
      <c r="R168" s="1659"/>
      <c r="S168" s="1078" t="str">
        <f t="shared" si="14"/>
        <v/>
      </c>
      <c r="T168" s="1661"/>
      <c r="U168" s="1659"/>
      <c r="V168" s="1078" t="str">
        <f t="shared" si="15"/>
        <v/>
      </c>
      <c r="W168" s="1016"/>
      <c r="X168" s="1016"/>
      <c r="Y168" s="1016"/>
      <c r="Z168" s="1016"/>
      <c r="AA168" s="1016"/>
      <c r="AB168" s="1016"/>
      <c r="AC168" s="1016"/>
      <c r="AD168" s="1016"/>
      <c r="AE168" s="1016"/>
      <c r="AF168" s="1016"/>
      <c r="AG168" s="1016"/>
      <c r="AH168" s="1016"/>
      <c r="AI168" s="1016"/>
      <c r="AJ168" s="1016"/>
      <c r="AK168" s="1016"/>
      <c r="AL168" s="1016"/>
      <c r="AM168" s="1016"/>
      <c r="AN168" s="1016"/>
      <c r="AO168" s="1016"/>
      <c r="AP168" s="1016"/>
      <c r="AQ168" s="1016"/>
      <c r="AR168" s="1016"/>
      <c r="AS168" s="1016"/>
      <c r="AT168" s="1016"/>
      <c r="AU168" s="1016"/>
      <c r="AV168" s="1016"/>
      <c r="AW168" s="1016"/>
    </row>
    <row r="169" spans="2:49" x14ac:dyDescent="0.2">
      <c r="B169" s="1029"/>
      <c r="C169" s="1030"/>
      <c r="D169" s="1029"/>
      <c r="E169" s="1032"/>
      <c r="F169" s="1032"/>
      <c r="G169" s="1020"/>
      <c r="H169" s="1659"/>
      <c r="I169" s="1659"/>
      <c r="J169" s="1077" t="str">
        <f t="shared" si="11"/>
        <v/>
      </c>
      <c r="K169" s="1659"/>
      <c r="L169" s="1659"/>
      <c r="M169" s="1078" t="str">
        <f t="shared" si="12"/>
        <v/>
      </c>
      <c r="N169" s="1659"/>
      <c r="O169" s="1659"/>
      <c r="P169" s="1078" t="str">
        <f t="shared" si="13"/>
        <v/>
      </c>
      <c r="Q169" s="1659"/>
      <c r="R169" s="1659"/>
      <c r="S169" s="1078" t="str">
        <f t="shared" si="14"/>
        <v/>
      </c>
      <c r="T169" s="1661"/>
      <c r="U169" s="1659"/>
      <c r="V169" s="1078" t="str">
        <f t="shared" si="15"/>
        <v/>
      </c>
      <c r="W169" s="1016"/>
      <c r="X169" s="1016"/>
      <c r="Y169" s="1016"/>
      <c r="Z169" s="1016"/>
      <c r="AA169" s="1016"/>
      <c r="AB169" s="1016"/>
      <c r="AC169" s="1016"/>
      <c r="AD169" s="1016"/>
      <c r="AE169" s="1016"/>
      <c r="AF169" s="1016"/>
      <c r="AG169" s="1016"/>
      <c r="AH169" s="1016"/>
      <c r="AI169" s="1016"/>
      <c r="AJ169" s="1016"/>
      <c r="AK169" s="1016"/>
      <c r="AL169" s="1016"/>
      <c r="AM169" s="1016"/>
      <c r="AN169" s="1016"/>
      <c r="AO169" s="1016"/>
      <c r="AP169" s="1016"/>
      <c r="AQ169" s="1016"/>
      <c r="AR169" s="1016"/>
      <c r="AS169" s="1016"/>
      <c r="AT169" s="1016"/>
      <c r="AU169" s="1016"/>
      <c r="AV169" s="1016"/>
      <c r="AW169" s="1016"/>
    </row>
    <row r="170" spans="2:49" x14ac:dyDescent="0.2">
      <c r="B170" s="1029"/>
      <c r="C170" s="1030"/>
      <c r="D170" s="1029"/>
      <c r="E170" s="1032"/>
      <c r="F170" s="1032"/>
      <c r="G170" s="1020"/>
      <c r="H170" s="1659"/>
      <c r="I170" s="1659"/>
      <c r="J170" s="1077" t="str">
        <f t="shared" si="11"/>
        <v/>
      </c>
      <c r="K170" s="1659"/>
      <c r="L170" s="1659"/>
      <c r="M170" s="1078" t="str">
        <f t="shared" si="12"/>
        <v/>
      </c>
      <c r="N170" s="1659"/>
      <c r="O170" s="1659"/>
      <c r="P170" s="1078" t="str">
        <f t="shared" si="13"/>
        <v/>
      </c>
      <c r="Q170" s="1659"/>
      <c r="R170" s="1659"/>
      <c r="S170" s="1078" t="str">
        <f t="shared" si="14"/>
        <v/>
      </c>
      <c r="T170" s="1661"/>
      <c r="U170" s="1659"/>
      <c r="V170" s="1078" t="str">
        <f t="shared" si="15"/>
        <v/>
      </c>
      <c r="W170" s="1016"/>
      <c r="X170" s="1016"/>
      <c r="Y170" s="1016"/>
      <c r="Z170" s="1016"/>
      <c r="AA170" s="1016"/>
      <c r="AB170" s="1016"/>
      <c r="AC170" s="1016"/>
      <c r="AD170" s="1016"/>
      <c r="AE170" s="1016"/>
      <c r="AF170" s="1016"/>
      <c r="AG170" s="1016"/>
      <c r="AH170" s="1016"/>
      <c r="AI170" s="1016"/>
      <c r="AJ170" s="1016"/>
      <c r="AK170" s="1016"/>
      <c r="AL170" s="1016"/>
      <c r="AM170" s="1016"/>
      <c r="AN170" s="1016"/>
      <c r="AO170" s="1016"/>
      <c r="AP170" s="1016"/>
      <c r="AQ170" s="1016"/>
      <c r="AR170" s="1016"/>
      <c r="AS170" s="1016"/>
      <c r="AT170" s="1016"/>
      <c r="AU170" s="1016"/>
      <c r="AV170" s="1016"/>
      <c r="AW170" s="1016"/>
    </row>
    <row r="171" spans="2:49" x14ac:dyDescent="0.2">
      <c r="B171" s="1029"/>
      <c r="C171" s="1030"/>
      <c r="D171" s="1029"/>
      <c r="E171" s="1032"/>
      <c r="F171" s="1032"/>
      <c r="G171" s="1020"/>
      <c r="H171" s="1659"/>
      <c r="I171" s="1659"/>
      <c r="J171" s="1077" t="str">
        <f t="shared" si="11"/>
        <v/>
      </c>
      <c r="K171" s="1659"/>
      <c r="L171" s="1659"/>
      <c r="M171" s="1078" t="str">
        <f t="shared" si="12"/>
        <v/>
      </c>
      <c r="N171" s="1659"/>
      <c r="O171" s="1659"/>
      <c r="P171" s="1078" t="str">
        <f t="shared" si="13"/>
        <v/>
      </c>
      <c r="Q171" s="1659"/>
      <c r="R171" s="1659"/>
      <c r="S171" s="1078" t="str">
        <f t="shared" si="14"/>
        <v/>
      </c>
      <c r="T171" s="1661"/>
      <c r="U171" s="1659"/>
      <c r="V171" s="1078" t="str">
        <f t="shared" si="15"/>
        <v/>
      </c>
      <c r="W171" s="1016"/>
      <c r="X171" s="1016"/>
      <c r="Y171" s="1016"/>
      <c r="Z171" s="1016"/>
      <c r="AA171" s="1016"/>
      <c r="AB171" s="1016"/>
      <c r="AC171" s="1016"/>
      <c r="AD171" s="1016"/>
      <c r="AE171" s="1016"/>
      <c r="AF171" s="1016"/>
      <c r="AG171" s="1016"/>
      <c r="AH171" s="1016"/>
      <c r="AI171" s="1016"/>
      <c r="AJ171" s="1016"/>
      <c r="AK171" s="1016"/>
      <c r="AL171" s="1016"/>
      <c r="AM171" s="1016"/>
      <c r="AN171" s="1016"/>
      <c r="AO171" s="1016"/>
      <c r="AP171" s="1016"/>
      <c r="AQ171" s="1016"/>
      <c r="AR171" s="1016"/>
      <c r="AS171" s="1016"/>
      <c r="AT171" s="1016"/>
      <c r="AU171" s="1016"/>
      <c r="AV171" s="1016"/>
      <c r="AW171" s="1016"/>
    </row>
    <row r="172" spans="2:49" x14ac:dyDescent="0.2">
      <c r="B172" s="1029"/>
      <c r="C172" s="1030"/>
      <c r="D172" s="1029"/>
      <c r="E172" s="1032"/>
      <c r="F172" s="1032"/>
      <c r="G172" s="1020"/>
      <c r="H172" s="1659"/>
      <c r="I172" s="1659"/>
      <c r="J172" s="1077" t="str">
        <f t="shared" si="11"/>
        <v/>
      </c>
      <c r="K172" s="1659"/>
      <c r="L172" s="1659"/>
      <c r="M172" s="1078" t="str">
        <f t="shared" si="12"/>
        <v/>
      </c>
      <c r="N172" s="1659"/>
      <c r="O172" s="1659"/>
      <c r="P172" s="1078" t="str">
        <f t="shared" si="13"/>
        <v/>
      </c>
      <c r="Q172" s="1659"/>
      <c r="R172" s="1659"/>
      <c r="S172" s="1078" t="str">
        <f t="shared" si="14"/>
        <v/>
      </c>
      <c r="T172" s="1661"/>
      <c r="U172" s="1659"/>
      <c r="V172" s="1078" t="str">
        <f t="shared" si="15"/>
        <v/>
      </c>
      <c r="W172" s="1016"/>
      <c r="X172" s="1016"/>
      <c r="Y172" s="1016"/>
      <c r="Z172" s="1016"/>
      <c r="AA172" s="1016"/>
      <c r="AB172" s="1016"/>
      <c r="AC172" s="1016"/>
      <c r="AD172" s="1016"/>
      <c r="AE172" s="1016"/>
      <c r="AF172" s="1016"/>
      <c r="AG172" s="1016"/>
      <c r="AH172" s="1016"/>
      <c r="AI172" s="1016"/>
      <c r="AJ172" s="1016"/>
      <c r="AK172" s="1016"/>
      <c r="AL172" s="1016"/>
      <c r="AM172" s="1016"/>
      <c r="AN172" s="1016"/>
      <c r="AO172" s="1016"/>
      <c r="AP172" s="1016"/>
      <c r="AQ172" s="1016"/>
      <c r="AR172" s="1016"/>
      <c r="AS172" s="1016"/>
      <c r="AT172" s="1016"/>
      <c r="AU172" s="1016"/>
      <c r="AV172" s="1016"/>
      <c r="AW172" s="1016"/>
    </row>
    <row r="173" spans="2:49" x14ac:dyDescent="0.2">
      <c r="B173" s="1029"/>
      <c r="C173" s="1030"/>
      <c r="D173" s="1029"/>
      <c r="E173" s="1032"/>
      <c r="F173" s="1032"/>
      <c r="G173" s="1020"/>
      <c r="H173" s="1659"/>
      <c r="I173" s="1659"/>
      <c r="J173" s="1077" t="str">
        <f t="shared" si="11"/>
        <v/>
      </c>
      <c r="K173" s="1659"/>
      <c r="L173" s="1659"/>
      <c r="M173" s="1078" t="str">
        <f t="shared" si="12"/>
        <v/>
      </c>
      <c r="N173" s="1659"/>
      <c r="O173" s="1659"/>
      <c r="P173" s="1078" t="str">
        <f t="shared" si="13"/>
        <v/>
      </c>
      <c r="Q173" s="1659"/>
      <c r="R173" s="1659"/>
      <c r="S173" s="1078" t="str">
        <f t="shared" si="14"/>
        <v/>
      </c>
      <c r="T173" s="1661"/>
      <c r="U173" s="1659"/>
      <c r="V173" s="1078" t="str">
        <f t="shared" si="15"/>
        <v/>
      </c>
      <c r="W173" s="1016"/>
      <c r="X173" s="1016"/>
      <c r="Y173" s="1016"/>
      <c r="Z173" s="1016"/>
      <c r="AA173" s="1016"/>
      <c r="AB173" s="1016"/>
      <c r="AC173" s="1016"/>
      <c r="AD173" s="1016"/>
      <c r="AE173" s="1016"/>
      <c r="AF173" s="1016"/>
      <c r="AG173" s="1016"/>
      <c r="AH173" s="1016"/>
      <c r="AI173" s="1016"/>
      <c r="AJ173" s="1016"/>
      <c r="AK173" s="1016"/>
      <c r="AL173" s="1016"/>
      <c r="AM173" s="1016"/>
      <c r="AN173" s="1016"/>
      <c r="AO173" s="1016"/>
      <c r="AP173" s="1016"/>
      <c r="AQ173" s="1016"/>
      <c r="AR173" s="1016"/>
      <c r="AS173" s="1016"/>
      <c r="AT173" s="1016"/>
      <c r="AU173" s="1016"/>
      <c r="AV173" s="1016"/>
      <c r="AW173" s="1016"/>
    </row>
    <row r="174" spans="2:49" x14ac:dyDescent="0.2">
      <c r="B174" s="1029"/>
      <c r="C174" s="1030"/>
      <c r="D174" s="1029"/>
      <c r="E174" s="1032"/>
      <c r="F174" s="1032"/>
      <c r="G174" s="1020"/>
      <c r="H174" s="1659"/>
      <c r="I174" s="1659"/>
      <c r="J174" s="1077" t="str">
        <f t="shared" si="11"/>
        <v/>
      </c>
      <c r="K174" s="1659"/>
      <c r="L174" s="1659"/>
      <c r="M174" s="1078" t="str">
        <f t="shared" si="12"/>
        <v/>
      </c>
      <c r="N174" s="1659"/>
      <c r="O174" s="1659"/>
      <c r="P174" s="1078" t="str">
        <f t="shared" si="13"/>
        <v/>
      </c>
      <c r="Q174" s="1659"/>
      <c r="R174" s="1659"/>
      <c r="S174" s="1078" t="str">
        <f t="shared" si="14"/>
        <v/>
      </c>
      <c r="T174" s="1661"/>
      <c r="U174" s="1659"/>
      <c r="V174" s="1078" t="str">
        <f t="shared" si="15"/>
        <v/>
      </c>
      <c r="W174" s="1016"/>
      <c r="X174" s="1016"/>
      <c r="Y174" s="1016"/>
      <c r="Z174" s="1016"/>
      <c r="AA174" s="1016"/>
      <c r="AB174" s="1016"/>
      <c r="AC174" s="1016"/>
      <c r="AD174" s="1016"/>
      <c r="AE174" s="1016"/>
      <c r="AF174" s="1016"/>
      <c r="AG174" s="1016"/>
      <c r="AH174" s="1016"/>
      <c r="AI174" s="1016"/>
      <c r="AJ174" s="1016"/>
      <c r="AK174" s="1016"/>
      <c r="AL174" s="1016"/>
      <c r="AM174" s="1016"/>
      <c r="AN174" s="1016"/>
      <c r="AO174" s="1016"/>
      <c r="AP174" s="1016"/>
      <c r="AQ174" s="1016"/>
      <c r="AR174" s="1016"/>
      <c r="AS174" s="1016"/>
      <c r="AT174" s="1016"/>
      <c r="AU174" s="1016"/>
      <c r="AV174" s="1016"/>
      <c r="AW174" s="1016"/>
    </row>
    <row r="175" spans="2:49" x14ac:dyDescent="0.2">
      <c r="B175" s="1029"/>
      <c r="C175" s="1030"/>
      <c r="D175" s="1029"/>
      <c r="E175" s="1032"/>
      <c r="F175" s="1032"/>
      <c r="G175" s="1020"/>
      <c r="H175" s="1659"/>
      <c r="I175" s="1659"/>
      <c r="J175" s="1077" t="str">
        <f t="shared" si="11"/>
        <v/>
      </c>
      <c r="K175" s="1659"/>
      <c r="L175" s="1659"/>
      <c r="M175" s="1078" t="str">
        <f t="shared" si="12"/>
        <v/>
      </c>
      <c r="N175" s="1659"/>
      <c r="O175" s="1659"/>
      <c r="P175" s="1078" t="str">
        <f t="shared" si="13"/>
        <v/>
      </c>
      <c r="Q175" s="1659"/>
      <c r="R175" s="1659"/>
      <c r="S175" s="1078" t="str">
        <f t="shared" si="14"/>
        <v/>
      </c>
      <c r="T175" s="1661"/>
      <c r="U175" s="1659"/>
      <c r="V175" s="1078" t="str">
        <f t="shared" si="15"/>
        <v/>
      </c>
      <c r="W175" s="1016"/>
      <c r="X175" s="1016"/>
      <c r="Y175" s="1016"/>
      <c r="Z175" s="1016"/>
      <c r="AA175" s="1016"/>
      <c r="AB175" s="1016"/>
      <c r="AC175" s="1016"/>
      <c r="AD175" s="1016"/>
      <c r="AE175" s="1016"/>
      <c r="AF175" s="1016"/>
      <c r="AG175" s="1016"/>
      <c r="AH175" s="1016"/>
      <c r="AI175" s="1016"/>
      <c r="AJ175" s="1016"/>
      <c r="AK175" s="1016"/>
      <c r="AL175" s="1016"/>
      <c r="AM175" s="1016"/>
      <c r="AN175" s="1016"/>
      <c r="AO175" s="1016"/>
      <c r="AP175" s="1016"/>
      <c r="AQ175" s="1016"/>
      <c r="AR175" s="1016"/>
      <c r="AS175" s="1016"/>
      <c r="AT175" s="1016"/>
      <c r="AU175" s="1016"/>
      <c r="AV175" s="1016"/>
      <c r="AW175" s="1016"/>
    </row>
    <row r="176" spans="2:49" x14ac:dyDescent="0.2">
      <c r="B176" s="1029"/>
      <c r="C176" s="1030"/>
      <c r="D176" s="1029"/>
      <c r="E176" s="1032"/>
      <c r="F176" s="1032"/>
      <c r="G176" s="1020"/>
      <c r="H176" s="1659"/>
      <c r="I176" s="1659"/>
      <c r="J176" s="1077" t="str">
        <f t="shared" si="11"/>
        <v/>
      </c>
      <c r="K176" s="1659"/>
      <c r="L176" s="1659"/>
      <c r="M176" s="1078" t="str">
        <f t="shared" si="12"/>
        <v/>
      </c>
      <c r="N176" s="1659"/>
      <c r="O176" s="1659"/>
      <c r="P176" s="1078" t="str">
        <f t="shared" si="13"/>
        <v/>
      </c>
      <c r="Q176" s="1659"/>
      <c r="R176" s="1659"/>
      <c r="S176" s="1078" t="str">
        <f t="shared" si="14"/>
        <v/>
      </c>
      <c r="T176" s="1661"/>
      <c r="U176" s="1659"/>
      <c r="V176" s="1078" t="str">
        <f t="shared" si="15"/>
        <v/>
      </c>
      <c r="W176" s="1016"/>
      <c r="X176" s="1016"/>
      <c r="Y176" s="1016"/>
      <c r="Z176" s="1016"/>
      <c r="AA176" s="1016"/>
      <c r="AB176" s="1016"/>
      <c r="AC176" s="1016"/>
      <c r="AD176" s="1016"/>
      <c r="AE176" s="1016"/>
      <c r="AF176" s="1016"/>
      <c r="AG176" s="1016"/>
      <c r="AH176" s="1016"/>
      <c r="AI176" s="1016"/>
      <c r="AJ176" s="1016"/>
      <c r="AK176" s="1016"/>
      <c r="AL176" s="1016"/>
      <c r="AM176" s="1016"/>
      <c r="AN176" s="1016"/>
      <c r="AO176" s="1016"/>
      <c r="AP176" s="1016"/>
      <c r="AQ176" s="1016"/>
      <c r="AR176" s="1016"/>
      <c r="AS176" s="1016"/>
      <c r="AT176" s="1016"/>
      <c r="AU176" s="1016"/>
      <c r="AV176" s="1016"/>
      <c r="AW176" s="1016"/>
    </row>
    <row r="177" spans="2:49" x14ac:dyDescent="0.2">
      <c r="B177" s="1029"/>
      <c r="C177" s="1030"/>
      <c r="D177" s="1029"/>
      <c r="E177" s="1032"/>
      <c r="F177" s="1032"/>
      <c r="G177" s="1020"/>
      <c r="H177" s="1659"/>
      <c r="I177" s="1659"/>
      <c r="J177" s="1077" t="str">
        <f t="shared" si="11"/>
        <v/>
      </c>
      <c r="K177" s="1659"/>
      <c r="L177" s="1659"/>
      <c r="M177" s="1078" t="str">
        <f t="shared" si="12"/>
        <v/>
      </c>
      <c r="N177" s="1659"/>
      <c r="O177" s="1659"/>
      <c r="P177" s="1078" t="str">
        <f t="shared" si="13"/>
        <v/>
      </c>
      <c r="Q177" s="1659"/>
      <c r="R177" s="1659"/>
      <c r="S177" s="1078" t="str">
        <f t="shared" si="14"/>
        <v/>
      </c>
      <c r="T177" s="1661"/>
      <c r="U177" s="1659"/>
      <c r="V177" s="1078" t="str">
        <f t="shared" si="15"/>
        <v/>
      </c>
      <c r="W177" s="1016"/>
      <c r="X177" s="1016"/>
      <c r="Y177" s="1016"/>
      <c r="Z177" s="1016"/>
      <c r="AA177" s="1016"/>
      <c r="AB177" s="1016"/>
      <c r="AC177" s="1016"/>
      <c r="AD177" s="1016"/>
      <c r="AE177" s="1016"/>
      <c r="AF177" s="1016"/>
      <c r="AG177" s="1016"/>
      <c r="AH177" s="1016"/>
      <c r="AI177" s="1016"/>
      <c r="AJ177" s="1016"/>
      <c r="AK177" s="1016"/>
      <c r="AL177" s="1016"/>
      <c r="AM177" s="1016"/>
      <c r="AN177" s="1016"/>
      <c r="AO177" s="1016"/>
      <c r="AP177" s="1016"/>
      <c r="AQ177" s="1016"/>
      <c r="AR177" s="1016"/>
      <c r="AS177" s="1016"/>
      <c r="AT177" s="1016"/>
      <c r="AU177" s="1016"/>
      <c r="AV177" s="1016"/>
      <c r="AW177" s="1016"/>
    </row>
    <row r="178" spans="2:49" x14ac:dyDescent="0.2">
      <c r="B178" s="1029"/>
      <c r="C178" s="1030"/>
      <c r="D178" s="1029"/>
      <c r="E178" s="1032"/>
      <c r="F178" s="1032"/>
      <c r="G178" s="1020"/>
      <c r="H178" s="1659"/>
      <c r="I178" s="1659"/>
      <c r="J178" s="1077" t="str">
        <f t="shared" si="11"/>
        <v/>
      </c>
      <c r="K178" s="1659"/>
      <c r="L178" s="1659"/>
      <c r="M178" s="1078" t="str">
        <f t="shared" si="12"/>
        <v/>
      </c>
      <c r="N178" s="1659"/>
      <c r="O178" s="1659"/>
      <c r="P178" s="1078" t="str">
        <f t="shared" si="13"/>
        <v/>
      </c>
      <c r="Q178" s="1659"/>
      <c r="R178" s="1659"/>
      <c r="S178" s="1078" t="str">
        <f t="shared" si="14"/>
        <v/>
      </c>
      <c r="T178" s="1661"/>
      <c r="U178" s="1659"/>
      <c r="V178" s="1078" t="str">
        <f t="shared" si="15"/>
        <v/>
      </c>
      <c r="W178" s="1016"/>
      <c r="X178" s="1016"/>
      <c r="Y178" s="1016"/>
      <c r="Z178" s="1016"/>
      <c r="AA178" s="1016"/>
      <c r="AB178" s="1016"/>
      <c r="AC178" s="1016"/>
      <c r="AD178" s="1016"/>
      <c r="AE178" s="1016"/>
      <c r="AF178" s="1016"/>
      <c r="AG178" s="1016"/>
      <c r="AH178" s="1016"/>
      <c r="AI178" s="1016"/>
      <c r="AJ178" s="1016"/>
      <c r="AK178" s="1016"/>
      <c r="AL178" s="1016"/>
      <c r="AM178" s="1016"/>
      <c r="AN178" s="1016"/>
      <c r="AO178" s="1016"/>
      <c r="AP178" s="1016"/>
      <c r="AQ178" s="1016"/>
      <c r="AR178" s="1016"/>
      <c r="AS178" s="1016"/>
      <c r="AT178" s="1016"/>
      <c r="AU178" s="1016"/>
      <c r="AV178" s="1016"/>
      <c r="AW178" s="1016"/>
    </row>
    <row r="179" spans="2:49" x14ac:dyDescent="0.2">
      <c r="B179" s="1029"/>
      <c r="C179" s="1030"/>
      <c r="D179" s="1029"/>
      <c r="E179" s="1032"/>
      <c r="F179" s="1032"/>
      <c r="G179" s="1020"/>
      <c r="H179" s="1659"/>
      <c r="I179" s="1659"/>
      <c r="J179" s="1077" t="str">
        <f t="shared" si="11"/>
        <v/>
      </c>
      <c r="K179" s="1659"/>
      <c r="L179" s="1659"/>
      <c r="M179" s="1078" t="str">
        <f t="shared" si="12"/>
        <v/>
      </c>
      <c r="N179" s="1659"/>
      <c r="O179" s="1659"/>
      <c r="P179" s="1078" t="str">
        <f t="shared" si="13"/>
        <v/>
      </c>
      <c r="Q179" s="1659"/>
      <c r="R179" s="1659"/>
      <c r="S179" s="1078" t="str">
        <f t="shared" si="14"/>
        <v/>
      </c>
      <c r="T179" s="1661"/>
      <c r="U179" s="1659"/>
      <c r="V179" s="1078" t="str">
        <f t="shared" si="15"/>
        <v/>
      </c>
      <c r="W179" s="1016"/>
      <c r="X179" s="1016"/>
      <c r="Y179" s="1016"/>
      <c r="Z179" s="1016"/>
      <c r="AA179" s="1016"/>
      <c r="AB179" s="1016"/>
      <c r="AC179" s="1016"/>
      <c r="AD179" s="1016"/>
      <c r="AE179" s="1016"/>
      <c r="AF179" s="1016"/>
      <c r="AG179" s="1016"/>
      <c r="AH179" s="1016"/>
      <c r="AI179" s="1016"/>
      <c r="AJ179" s="1016"/>
      <c r="AK179" s="1016"/>
      <c r="AL179" s="1016"/>
      <c r="AM179" s="1016"/>
      <c r="AN179" s="1016"/>
      <c r="AO179" s="1016"/>
      <c r="AP179" s="1016"/>
      <c r="AQ179" s="1016"/>
      <c r="AR179" s="1016"/>
      <c r="AS179" s="1016"/>
      <c r="AT179" s="1016"/>
      <c r="AU179" s="1016"/>
      <c r="AV179" s="1016"/>
      <c r="AW179" s="1016"/>
    </row>
    <row r="180" spans="2:49" x14ac:dyDescent="0.2">
      <c r="B180" s="1029"/>
      <c r="C180" s="1030"/>
      <c r="D180" s="1029"/>
      <c r="E180" s="1032"/>
      <c r="F180" s="1032"/>
      <c r="G180" s="1020"/>
      <c r="H180" s="1659"/>
      <c r="I180" s="1659"/>
      <c r="J180" s="1077" t="str">
        <f t="shared" si="11"/>
        <v/>
      </c>
      <c r="K180" s="1659"/>
      <c r="L180" s="1659"/>
      <c r="M180" s="1078" t="str">
        <f t="shared" si="12"/>
        <v/>
      </c>
      <c r="N180" s="1659"/>
      <c r="O180" s="1659"/>
      <c r="P180" s="1078" t="str">
        <f t="shared" si="13"/>
        <v/>
      </c>
      <c r="Q180" s="1659"/>
      <c r="R180" s="1659"/>
      <c r="S180" s="1078" t="str">
        <f t="shared" si="14"/>
        <v/>
      </c>
      <c r="T180" s="1661"/>
      <c r="U180" s="1659"/>
      <c r="V180" s="1078" t="str">
        <f t="shared" si="15"/>
        <v/>
      </c>
      <c r="W180" s="1016"/>
      <c r="X180" s="1016"/>
      <c r="Y180" s="1016"/>
      <c r="Z180" s="1016"/>
      <c r="AA180" s="1016"/>
      <c r="AB180" s="1016"/>
      <c r="AC180" s="1016"/>
      <c r="AD180" s="1016"/>
      <c r="AE180" s="1016"/>
      <c r="AF180" s="1016"/>
      <c r="AG180" s="1016"/>
      <c r="AH180" s="1016"/>
      <c r="AI180" s="1016"/>
      <c r="AJ180" s="1016"/>
      <c r="AK180" s="1016"/>
      <c r="AL180" s="1016"/>
      <c r="AM180" s="1016"/>
      <c r="AN180" s="1016"/>
      <c r="AO180" s="1016"/>
      <c r="AP180" s="1016"/>
      <c r="AQ180" s="1016"/>
      <c r="AR180" s="1016"/>
      <c r="AS180" s="1016"/>
      <c r="AT180" s="1016"/>
      <c r="AU180" s="1016"/>
      <c r="AV180" s="1016"/>
      <c r="AW180" s="1016"/>
    </row>
    <row r="181" spans="2:49" x14ac:dyDescent="0.2">
      <c r="B181" s="1029"/>
      <c r="C181" s="1030"/>
      <c r="D181" s="1029"/>
      <c r="E181" s="1032"/>
      <c r="F181" s="1032"/>
      <c r="G181" s="1020"/>
      <c r="H181" s="1659"/>
      <c r="I181" s="1659"/>
      <c r="J181" s="1077" t="str">
        <f t="shared" si="11"/>
        <v/>
      </c>
      <c r="K181" s="1659"/>
      <c r="L181" s="1659"/>
      <c r="M181" s="1078" t="str">
        <f t="shared" si="12"/>
        <v/>
      </c>
      <c r="N181" s="1659"/>
      <c r="O181" s="1659"/>
      <c r="P181" s="1078" t="str">
        <f t="shared" si="13"/>
        <v/>
      </c>
      <c r="Q181" s="1659"/>
      <c r="R181" s="1659"/>
      <c r="S181" s="1078" t="str">
        <f t="shared" si="14"/>
        <v/>
      </c>
      <c r="T181" s="1661"/>
      <c r="U181" s="1659"/>
      <c r="V181" s="1078" t="str">
        <f t="shared" si="15"/>
        <v/>
      </c>
      <c r="W181" s="1016"/>
      <c r="X181" s="1016"/>
      <c r="Y181" s="1016"/>
      <c r="Z181" s="1016"/>
      <c r="AA181" s="1016"/>
      <c r="AB181" s="1016"/>
      <c r="AC181" s="1016"/>
      <c r="AD181" s="1016"/>
      <c r="AE181" s="1016"/>
      <c r="AF181" s="1016"/>
      <c r="AG181" s="1016"/>
      <c r="AH181" s="1016"/>
      <c r="AI181" s="1016"/>
      <c r="AJ181" s="1016"/>
      <c r="AK181" s="1016"/>
      <c r="AL181" s="1016"/>
      <c r="AM181" s="1016"/>
      <c r="AN181" s="1016"/>
      <c r="AO181" s="1016"/>
      <c r="AP181" s="1016"/>
      <c r="AQ181" s="1016"/>
      <c r="AR181" s="1016"/>
      <c r="AS181" s="1016"/>
      <c r="AT181" s="1016"/>
      <c r="AU181" s="1016"/>
      <c r="AV181" s="1016"/>
      <c r="AW181" s="1016"/>
    </row>
    <row r="182" spans="2:49" x14ac:dyDescent="0.2">
      <c r="B182" s="1029"/>
      <c r="C182" s="1030"/>
      <c r="D182" s="1029"/>
      <c r="E182" s="1032"/>
      <c r="F182" s="1032"/>
      <c r="G182" s="1020"/>
      <c r="H182" s="1659"/>
      <c r="I182" s="1659"/>
      <c r="J182" s="1077" t="str">
        <f t="shared" si="11"/>
        <v/>
      </c>
      <c r="K182" s="1659"/>
      <c r="L182" s="1659"/>
      <c r="M182" s="1078" t="str">
        <f t="shared" si="12"/>
        <v/>
      </c>
      <c r="N182" s="1659"/>
      <c r="O182" s="1659"/>
      <c r="P182" s="1078" t="str">
        <f t="shared" si="13"/>
        <v/>
      </c>
      <c r="Q182" s="1659"/>
      <c r="R182" s="1659"/>
      <c r="S182" s="1078" t="str">
        <f t="shared" si="14"/>
        <v/>
      </c>
      <c r="T182" s="1661"/>
      <c r="U182" s="1659"/>
      <c r="V182" s="1078" t="str">
        <f t="shared" si="15"/>
        <v/>
      </c>
      <c r="W182" s="1016"/>
      <c r="X182" s="1016"/>
      <c r="Y182" s="1016"/>
      <c r="Z182" s="1016"/>
      <c r="AA182" s="1016"/>
      <c r="AB182" s="1016"/>
      <c r="AC182" s="1016"/>
      <c r="AD182" s="1016"/>
      <c r="AE182" s="1016"/>
      <c r="AF182" s="1016"/>
      <c r="AG182" s="1016"/>
      <c r="AH182" s="1016"/>
      <c r="AI182" s="1016"/>
      <c r="AJ182" s="1016"/>
      <c r="AK182" s="1016"/>
      <c r="AL182" s="1016"/>
      <c r="AM182" s="1016"/>
      <c r="AN182" s="1016"/>
      <c r="AO182" s="1016"/>
      <c r="AP182" s="1016"/>
      <c r="AQ182" s="1016"/>
      <c r="AR182" s="1016"/>
      <c r="AS182" s="1016"/>
      <c r="AT182" s="1016"/>
      <c r="AU182" s="1016"/>
      <c r="AV182" s="1016"/>
      <c r="AW182" s="1016"/>
    </row>
    <row r="183" spans="2:49" x14ac:dyDescent="0.2">
      <c r="B183" s="1029"/>
      <c r="C183" s="1030"/>
      <c r="D183" s="1029"/>
      <c r="E183" s="1032"/>
      <c r="F183" s="1032"/>
      <c r="G183" s="1020"/>
      <c r="H183" s="1659"/>
      <c r="I183" s="1659"/>
      <c r="J183" s="1077" t="str">
        <f t="shared" si="11"/>
        <v/>
      </c>
      <c r="K183" s="1659"/>
      <c r="L183" s="1659"/>
      <c r="M183" s="1078" t="str">
        <f t="shared" si="12"/>
        <v/>
      </c>
      <c r="N183" s="1659"/>
      <c r="O183" s="1659"/>
      <c r="P183" s="1078" t="str">
        <f t="shared" si="13"/>
        <v/>
      </c>
      <c r="Q183" s="1659"/>
      <c r="R183" s="1659"/>
      <c r="S183" s="1078" t="str">
        <f t="shared" si="14"/>
        <v/>
      </c>
      <c r="T183" s="1661"/>
      <c r="U183" s="1659"/>
      <c r="V183" s="1078" t="str">
        <f t="shared" si="15"/>
        <v/>
      </c>
      <c r="W183" s="1016"/>
      <c r="X183" s="1016"/>
      <c r="Y183" s="1016"/>
      <c r="Z183" s="1016"/>
      <c r="AA183" s="1016"/>
      <c r="AB183" s="1016"/>
      <c r="AC183" s="1016"/>
      <c r="AD183" s="1016"/>
      <c r="AE183" s="1016"/>
      <c r="AF183" s="1016"/>
      <c r="AG183" s="1016"/>
      <c r="AH183" s="1016"/>
      <c r="AI183" s="1016"/>
      <c r="AJ183" s="1016"/>
      <c r="AK183" s="1016"/>
      <c r="AL183" s="1016"/>
      <c r="AM183" s="1016"/>
      <c r="AN183" s="1016"/>
      <c r="AO183" s="1016"/>
      <c r="AP183" s="1016"/>
      <c r="AQ183" s="1016"/>
      <c r="AR183" s="1016"/>
      <c r="AS183" s="1016"/>
      <c r="AT183" s="1016"/>
      <c r="AU183" s="1016"/>
      <c r="AV183" s="1016"/>
      <c r="AW183" s="1016"/>
    </row>
    <row r="184" spans="2:49" x14ac:dyDescent="0.2">
      <c r="B184" s="1029"/>
      <c r="C184" s="1030"/>
      <c r="D184" s="1029"/>
      <c r="E184" s="1032"/>
      <c r="F184" s="1032"/>
      <c r="G184" s="1020"/>
      <c r="H184" s="1659"/>
      <c r="I184" s="1659"/>
      <c r="J184" s="1077" t="str">
        <f t="shared" si="11"/>
        <v/>
      </c>
      <c r="K184" s="1659"/>
      <c r="L184" s="1659"/>
      <c r="M184" s="1078" t="str">
        <f t="shared" si="12"/>
        <v/>
      </c>
      <c r="N184" s="1659"/>
      <c r="O184" s="1659"/>
      <c r="P184" s="1078" t="str">
        <f t="shared" si="13"/>
        <v/>
      </c>
      <c r="Q184" s="1659"/>
      <c r="R184" s="1659"/>
      <c r="S184" s="1078" t="str">
        <f t="shared" si="14"/>
        <v/>
      </c>
      <c r="T184" s="1661"/>
      <c r="U184" s="1659"/>
      <c r="V184" s="1078" t="str">
        <f t="shared" si="15"/>
        <v/>
      </c>
      <c r="W184" s="1016"/>
      <c r="X184" s="1016"/>
      <c r="Y184" s="1016"/>
      <c r="Z184" s="1016"/>
      <c r="AA184" s="1016"/>
      <c r="AB184" s="1016"/>
      <c r="AC184" s="1016"/>
      <c r="AD184" s="1016"/>
      <c r="AE184" s="1016"/>
      <c r="AF184" s="1016"/>
      <c r="AG184" s="1016"/>
      <c r="AH184" s="1016"/>
      <c r="AI184" s="1016"/>
      <c r="AJ184" s="1016"/>
      <c r="AK184" s="1016"/>
      <c r="AL184" s="1016"/>
      <c r="AM184" s="1016"/>
      <c r="AN184" s="1016"/>
      <c r="AO184" s="1016"/>
      <c r="AP184" s="1016"/>
      <c r="AQ184" s="1016"/>
      <c r="AR184" s="1016"/>
      <c r="AS184" s="1016"/>
      <c r="AT184" s="1016"/>
      <c r="AU184" s="1016"/>
      <c r="AV184" s="1016"/>
      <c r="AW184" s="1016"/>
    </row>
    <row r="185" spans="2:49" x14ac:dyDescent="0.2">
      <c r="B185" s="1029"/>
      <c r="C185" s="1030"/>
      <c r="D185" s="1029"/>
      <c r="E185" s="1032"/>
      <c r="F185" s="1032"/>
      <c r="G185" s="1020"/>
      <c r="H185" s="1659"/>
      <c r="I185" s="1659"/>
      <c r="J185" s="1077" t="str">
        <f t="shared" si="11"/>
        <v/>
      </c>
      <c r="K185" s="1659"/>
      <c r="L185" s="1659"/>
      <c r="M185" s="1078" t="str">
        <f t="shared" si="12"/>
        <v/>
      </c>
      <c r="N185" s="1659"/>
      <c r="O185" s="1659"/>
      <c r="P185" s="1078" t="str">
        <f t="shared" si="13"/>
        <v/>
      </c>
      <c r="Q185" s="1659"/>
      <c r="R185" s="1659"/>
      <c r="S185" s="1078" t="str">
        <f t="shared" si="14"/>
        <v/>
      </c>
      <c r="T185" s="1661"/>
      <c r="U185" s="1659"/>
      <c r="V185" s="1078" t="str">
        <f t="shared" si="15"/>
        <v/>
      </c>
      <c r="W185" s="1016"/>
      <c r="X185" s="1016"/>
      <c r="Y185" s="1016"/>
      <c r="Z185" s="1016"/>
      <c r="AA185" s="1016"/>
      <c r="AB185" s="1016"/>
      <c r="AC185" s="1016"/>
      <c r="AD185" s="1016"/>
      <c r="AE185" s="1016"/>
      <c r="AF185" s="1016"/>
      <c r="AG185" s="1016"/>
      <c r="AH185" s="1016"/>
      <c r="AI185" s="1016"/>
      <c r="AJ185" s="1016"/>
      <c r="AK185" s="1016"/>
      <c r="AL185" s="1016"/>
      <c r="AM185" s="1016"/>
      <c r="AN185" s="1016"/>
      <c r="AO185" s="1016"/>
      <c r="AP185" s="1016"/>
      <c r="AQ185" s="1016"/>
      <c r="AR185" s="1016"/>
      <c r="AS185" s="1016"/>
      <c r="AT185" s="1016"/>
      <c r="AU185" s="1016"/>
      <c r="AV185" s="1016"/>
      <c r="AW185" s="1016"/>
    </row>
    <row r="186" spans="2:49" x14ac:dyDescent="0.2">
      <c r="B186" s="1029"/>
      <c r="C186" s="1030"/>
      <c r="D186" s="1029"/>
      <c r="E186" s="1032"/>
      <c r="F186" s="1032"/>
      <c r="G186" s="1020"/>
      <c r="H186" s="1659"/>
      <c r="I186" s="1659"/>
      <c r="J186" s="1077" t="str">
        <f t="shared" si="11"/>
        <v/>
      </c>
      <c r="K186" s="1659"/>
      <c r="L186" s="1659"/>
      <c r="M186" s="1078" t="str">
        <f t="shared" si="12"/>
        <v/>
      </c>
      <c r="N186" s="1659"/>
      <c r="O186" s="1659"/>
      <c r="P186" s="1078" t="str">
        <f t="shared" si="13"/>
        <v/>
      </c>
      <c r="Q186" s="1659"/>
      <c r="R186" s="1659"/>
      <c r="S186" s="1078" t="str">
        <f t="shared" si="14"/>
        <v/>
      </c>
      <c r="T186" s="1661"/>
      <c r="U186" s="1659"/>
      <c r="V186" s="1078" t="str">
        <f t="shared" si="15"/>
        <v/>
      </c>
      <c r="W186" s="1016"/>
      <c r="X186" s="1016"/>
      <c r="Y186" s="1016"/>
      <c r="Z186" s="1016"/>
      <c r="AA186" s="1016"/>
      <c r="AB186" s="1016"/>
      <c r="AC186" s="1016"/>
      <c r="AD186" s="1016"/>
      <c r="AE186" s="1016"/>
      <c r="AF186" s="1016"/>
      <c r="AG186" s="1016"/>
      <c r="AH186" s="1016"/>
      <c r="AI186" s="1016"/>
      <c r="AJ186" s="1016"/>
      <c r="AK186" s="1016"/>
      <c r="AL186" s="1016"/>
      <c r="AM186" s="1016"/>
      <c r="AN186" s="1016"/>
      <c r="AO186" s="1016"/>
      <c r="AP186" s="1016"/>
      <c r="AQ186" s="1016"/>
      <c r="AR186" s="1016"/>
      <c r="AS186" s="1016"/>
      <c r="AT186" s="1016"/>
      <c r="AU186" s="1016"/>
      <c r="AV186" s="1016"/>
      <c r="AW186" s="1016"/>
    </row>
    <row r="187" spans="2:49" x14ac:dyDescent="0.2">
      <c r="B187" s="1029"/>
      <c r="C187" s="1030"/>
      <c r="D187" s="1029"/>
      <c r="E187" s="1032"/>
      <c r="F187" s="1032"/>
      <c r="G187" s="1020"/>
      <c r="H187" s="1659"/>
      <c r="I187" s="1659"/>
      <c r="J187" s="1077" t="str">
        <f t="shared" si="11"/>
        <v/>
      </c>
      <c r="K187" s="1659"/>
      <c r="L187" s="1659"/>
      <c r="M187" s="1078" t="str">
        <f t="shared" si="12"/>
        <v/>
      </c>
      <c r="N187" s="1659"/>
      <c r="O187" s="1659"/>
      <c r="P187" s="1078" t="str">
        <f t="shared" si="13"/>
        <v/>
      </c>
      <c r="Q187" s="1659"/>
      <c r="R187" s="1659"/>
      <c r="S187" s="1078" t="str">
        <f t="shared" si="14"/>
        <v/>
      </c>
      <c r="T187" s="1661"/>
      <c r="U187" s="1659"/>
      <c r="V187" s="1078" t="str">
        <f t="shared" si="15"/>
        <v/>
      </c>
      <c r="W187" s="1016"/>
      <c r="X187" s="1016"/>
      <c r="Y187" s="1016"/>
      <c r="Z187" s="1016"/>
      <c r="AA187" s="1016"/>
      <c r="AB187" s="1016"/>
      <c r="AC187" s="1016"/>
      <c r="AD187" s="1016"/>
      <c r="AE187" s="1016"/>
      <c r="AF187" s="1016"/>
      <c r="AG187" s="1016"/>
      <c r="AH187" s="1016"/>
      <c r="AI187" s="1016"/>
      <c r="AJ187" s="1016"/>
      <c r="AK187" s="1016"/>
      <c r="AL187" s="1016"/>
      <c r="AM187" s="1016"/>
      <c r="AN187" s="1016"/>
      <c r="AO187" s="1016"/>
      <c r="AP187" s="1016"/>
      <c r="AQ187" s="1016"/>
      <c r="AR187" s="1016"/>
      <c r="AS187" s="1016"/>
      <c r="AT187" s="1016"/>
      <c r="AU187" s="1016"/>
      <c r="AV187" s="1016"/>
      <c r="AW187" s="1016"/>
    </row>
    <row r="188" spans="2:49" x14ac:dyDescent="0.2">
      <c r="B188" s="1029"/>
      <c r="C188" s="1030"/>
      <c r="D188" s="1029"/>
      <c r="E188" s="1032"/>
      <c r="F188" s="1032"/>
      <c r="G188" s="1020"/>
      <c r="H188" s="1659"/>
      <c r="I188" s="1659"/>
      <c r="J188" s="1077" t="str">
        <f t="shared" si="11"/>
        <v/>
      </c>
      <c r="K188" s="1659"/>
      <c r="L188" s="1659"/>
      <c r="M188" s="1078" t="str">
        <f t="shared" si="12"/>
        <v/>
      </c>
      <c r="N188" s="1659"/>
      <c r="O188" s="1659"/>
      <c r="P188" s="1078" t="str">
        <f t="shared" si="13"/>
        <v/>
      </c>
      <c r="Q188" s="1659"/>
      <c r="R188" s="1659"/>
      <c r="S188" s="1078" t="str">
        <f t="shared" si="14"/>
        <v/>
      </c>
      <c r="T188" s="1661"/>
      <c r="U188" s="1659"/>
      <c r="V188" s="1078" t="str">
        <f t="shared" si="15"/>
        <v/>
      </c>
      <c r="W188" s="1016"/>
      <c r="X188" s="1016"/>
      <c r="Y188" s="1016"/>
      <c r="Z188" s="1016"/>
      <c r="AA188" s="1016"/>
      <c r="AB188" s="1016"/>
      <c r="AC188" s="1016"/>
      <c r="AD188" s="1016"/>
      <c r="AE188" s="1016"/>
      <c r="AF188" s="1016"/>
      <c r="AG188" s="1016"/>
      <c r="AH188" s="1016"/>
      <c r="AI188" s="1016"/>
      <c r="AJ188" s="1016"/>
      <c r="AK188" s="1016"/>
      <c r="AL188" s="1016"/>
      <c r="AM188" s="1016"/>
      <c r="AN188" s="1016"/>
      <c r="AO188" s="1016"/>
      <c r="AP188" s="1016"/>
      <c r="AQ188" s="1016"/>
      <c r="AR188" s="1016"/>
      <c r="AS188" s="1016"/>
      <c r="AT188" s="1016"/>
      <c r="AU188" s="1016"/>
      <c r="AV188" s="1016"/>
      <c r="AW188" s="1016"/>
    </row>
    <row r="189" spans="2:49" x14ac:dyDescent="0.2">
      <c r="B189" s="1029"/>
      <c r="C189" s="1030"/>
      <c r="D189" s="1029"/>
      <c r="E189" s="1032"/>
      <c r="F189" s="1032"/>
      <c r="G189" s="1020"/>
      <c r="H189" s="1659"/>
      <c r="I189" s="1659"/>
      <c r="J189" s="1077" t="str">
        <f t="shared" si="11"/>
        <v/>
      </c>
      <c r="K189" s="1659"/>
      <c r="L189" s="1659"/>
      <c r="M189" s="1078" t="str">
        <f t="shared" si="12"/>
        <v/>
      </c>
      <c r="N189" s="1659"/>
      <c r="O189" s="1659"/>
      <c r="P189" s="1078" t="str">
        <f t="shared" si="13"/>
        <v/>
      </c>
      <c r="Q189" s="1659"/>
      <c r="R189" s="1659"/>
      <c r="S189" s="1078" t="str">
        <f t="shared" si="14"/>
        <v/>
      </c>
      <c r="T189" s="1661"/>
      <c r="U189" s="1659"/>
      <c r="V189" s="1078" t="str">
        <f t="shared" si="15"/>
        <v/>
      </c>
      <c r="W189" s="1016"/>
      <c r="X189" s="1016"/>
      <c r="Y189" s="1016"/>
      <c r="Z189" s="1016"/>
      <c r="AA189" s="1016"/>
      <c r="AB189" s="1016"/>
      <c r="AC189" s="1016"/>
      <c r="AD189" s="1016"/>
      <c r="AE189" s="1016"/>
      <c r="AF189" s="1016"/>
      <c r="AG189" s="1016"/>
      <c r="AH189" s="1016"/>
      <c r="AI189" s="1016"/>
      <c r="AJ189" s="1016"/>
      <c r="AK189" s="1016"/>
      <c r="AL189" s="1016"/>
      <c r="AM189" s="1016"/>
      <c r="AN189" s="1016"/>
      <c r="AO189" s="1016"/>
      <c r="AP189" s="1016"/>
      <c r="AQ189" s="1016"/>
      <c r="AR189" s="1016"/>
      <c r="AS189" s="1016"/>
      <c r="AT189" s="1016"/>
      <c r="AU189" s="1016"/>
      <c r="AV189" s="1016"/>
      <c r="AW189" s="1016"/>
    </row>
    <row r="190" spans="2:49" x14ac:dyDescent="0.2">
      <c r="B190" s="1029"/>
      <c r="C190" s="1030"/>
      <c r="D190" s="1029"/>
      <c r="E190" s="1032"/>
      <c r="F190" s="1032"/>
      <c r="G190" s="1020"/>
      <c r="H190" s="1659"/>
      <c r="I190" s="1659"/>
      <c r="J190" s="1077" t="str">
        <f t="shared" si="11"/>
        <v/>
      </c>
      <c r="K190" s="1659"/>
      <c r="L190" s="1659"/>
      <c r="M190" s="1078" t="str">
        <f t="shared" si="12"/>
        <v/>
      </c>
      <c r="N190" s="1659"/>
      <c r="O190" s="1659"/>
      <c r="P190" s="1078" t="str">
        <f t="shared" si="13"/>
        <v/>
      </c>
      <c r="Q190" s="1659"/>
      <c r="R190" s="1659"/>
      <c r="S190" s="1078" t="str">
        <f t="shared" si="14"/>
        <v/>
      </c>
      <c r="T190" s="1661"/>
      <c r="U190" s="1659"/>
      <c r="V190" s="1078" t="str">
        <f t="shared" si="15"/>
        <v/>
      </c>
      <c r="W190" s="1016"/>
      <c r="X190" s="1016"/>
      <c r="Y190" s="1016"/>
      <c r="Z190" s="1016"/>
      <c r="AA190" s="1016"/>
      <c r="AB190" s="1016"/>
      <c r="AC190" s="1016"/>
      <c r="AD190" s="1016"/>
      <c r="AE190" s="1016"/>
      <c r="AF190" s="1016"/>
      <c r="AG190" s="1016"/>
      <c r="AH190" s="1016"/>
      <c r="AI190" s="1016"/>
      <c r="AJ190" s="1016"/>
      <c r="AK190" s="1016"/>
      <c r="AL190" s="1016"/>
      <c r="AM190" s="1016"/>
      <c r="AN190" s="1016"/>
      <c r="AO190" s="1016"/>
      <c r="AP190" s="1016"/>
      <c r="AQ190" s="1016"/>
      <c r="AR190" s="1016"/>
      <c r="AS190" s="1016"/>
      <c r="AT190" s="1016"/>
      <c r="AU190" s="1016"/>
      <c r="AV190" s="1016"/>
      <c r="AW190" s="1016"/>
    </row>
    <row r="191" spans="2:49" x14ac:dyDescent="0.2">
      <c r="B191" s="1029"/>
      <c r="C191" s="1030"/>
      <c r="D191" s="1029"/>
      <c r="E191" s="1032"/>
      <c r="F191" s="1032"/>
      <c r="G191" s="1020"/>
      <c r="H191" s="1659"/>
      <c r="I191" s="1659"/>
      <c r="J191" s="1077" t="str">
        <f t="shared" si="11"/>
        <v/>
      </c>
      <c r="K191" s="1659"/>
      <c r="L191" s="1659"/>
      <c r="M191" s="1078" t="str">
        <f t="shared" si="12"/>
        <v/>
      </c>
      <c r="N191" s="1659"/>
      <c r="O191" s="1659"/>
      <c r="P191" s="1078" t="str">
        <f t="shared" si="13"/>
        <v/>
      </c>
      <c r="Q191" s="1659"/>
      <c r="R191" s="1659"/>
      <c r="S191" s="1078" t="str">
        <f t="shared" si="14"/>
        <v/>
      </c>
      <c r="T191" s="1661"/>
      <c r="U191" s="1659"/>
      <c r="V191" s="1078" t="str">
        <f t="shared" si="15"/>
        <v/>
      </c>
      <c r="W191" s="1016"/>
      <c r="X191" s="1016"/>
      <c r="Y191" s="1016"/>
      <c r="Z191" s="1016"/>
      <c r="AA191" s="1016"/>
      <c r="AB191" s="1016"/>
      <c r="AC191" s="1016"/>
      <c r="AD191" s="1016"/>
      <c r="AE191" s="1016"/>
      <c r="AF191" s="1016"/>
      <c r="AG191" s="1016"/>
      <c r="AH191" s="1016"/>
      <c r="AI191" s="1016"/>
      <c r="AJ191" s="1016"/>
      <c r="AK191" s="1016"/>
      <c r="AL191" s="1016"/>
      <c r="AM191" s="1016"/>
      <c r="AN191" s="1016"/>
      <c r="AO191" s="1016"/>
      <c r="AP191" s="1016"/>
      <c r="AQ191" s="1016"/>
      <c r="AR191" s="1016"/>
      <c r="AS191" s="1016"/>
      <c r="AT191" s="1016"/>
      <c r="AU191" s="1016"/>
      <c r="AV191" s="1016"/>
      <c r="AW191" s="1016"/>
    </row>
    <row r="192" spans="2:49" x14ac:dyDescent="0.2">
      <c r="B192" s="1029"/>
      <c r="C192" s="1030"/>
      <c r="D192" s="1029"/>
      <c r="E192" s="1032"/>
      <c r="F192" s="1032"/>
      <c r="G192" s="1020"/>
      <c r="H192" s="1659"/>
      <c r="I192" s="1659"/>
      <c r="J192" s="1077" t="str">
        <f t="shared" si="11"/>
        <v/>
      </c>
      <c r="K192" s="1659"/>
      <c r="L192" s="1659"/>
      <c r="M192" s="1078" t="str">
        <f t="shared" si="12"/>
        <v/>
      </c>
      <c r="N192" s="1659"/>
      <c r="O192" s="1659"/>
      <c r="P192" s="1078" t="str">
        <f t="shared" si="13"/>
        <v/>
      </c>
      <c r="Q192" s="1659"/>
      <c r="R192" s="1659"/>
      <c r="S192" s="1078" t="str">
        <f t="shared" si="14"/>
        <v/>
      </c>
      <c r="T192" s="1661"/>
      <c r="U192" s="1659"/>
      <c r="V192" s="1078" t="str">
        <f t="shared" si="15"/>
        <v/>
      </c>
      <c r="W192" s="1016"/>
      <c r="X192" s="1016"/>
      <c r="Y192" s="1016"/>
      <c r="Z192" s="1016"/>
      <c r="AA192" s="1016"/>
      <c r="AB192" s="1016"/>
      <c r="AC192" s="1016"/>
      <c r="AD192" s="1016"/>
      <c r="AE192" s="1016"/>
      <c r="AF192" s="1016"/>
      <c r="AG192" s="1016"/>
      <c r="AH192" s="1016"/>
      <c r="AI192" s="1016"/>
      <c r="AJ192" s="1016"/>
      <c r="AK192" s="1016"/>
      <c r="AL192" s="1016"/>
      <c r="AM192" s="1016"/>
      <c r="AN192" s="1016"/>
      <c r="AO192" s="1016"/>
      <c r="AP192" s="1016"/>
      <c r="AQ192" s="1016"/>
      <c r="AR192" s="1016"/>
      <c r="AS192" s="1016"/>
      <c r="AT192" s="1016"/>
      <c r="AU192" s="1016"/>
      <c r="AV192" s="1016"/>
      <c r="AW192" s="1016"/>
    </row>
    <row r="193" spans="2:49" x14ac:dyDescent="0.2">
      <c r="B193" s="1029"/>
      <c r="C193" s="1030"/>
      <c r="D193" s="1029"/>
      <c r="E193" s="1032"/>
      <c r="F193" s="1032"/>
      <c r="G193" s="1020"/>
      <c r="H193" s="1659"/>
      <c r="I193" s="1659"/>
      <c r="J193" s="1077" t="str">
        <f t="shared" si="11"/>
        <v/>
      </c>
      <c r="K193" s="1659"/>
      <c r="L193" s="1659"/>
      <c r="M193" s="1078" t="str">
        <f t="shared" si="12"/>
        <v/>
      </c>
      <c r="N193" s="1659"/>
      <c r="O193" s="1659"/>
      <c r="P193" s="1078" t="str">
        <f t="shared" si="13"/>
        <v/>
      </c>
      <c r="Q193" s="1659"/>
      <c r="R193" s="1659"/>
      <c r="S193" s="1078" t="str">
        <f t="shared" si="14"/>
        <v/>
      </c>
      <c r="T193" s="1661"/>
      <c r="U193" s="1659"/>
      <c r="V193" s="1078" t="str">
        <f t="shared" si="15"/>
        <v/>
      </c>
      <c r="W193" s="1016"/>
      <c r="X193" s="1016"/>
      <c r="Y193" s="1016"/>
      <c r="Z193" s="1016"/>
      <c r="AA193" s="1016"/>
      <c r="AB193" s="1016"/>
      <c r="AC193" s="1016"/>
      <c r="AD193" s="1016"/>
      <c r="AE193" s="1016"/>
      <c r="AF193" s="1016"/>
      <c r="AG193" s="1016"/>
      <c r="AH193" s="1016"/>
      <c r="AI193" s="1016"/>
      <c r="AJ193" s="1016"/>
      <c r="AK193" s="1016"/>
      <c r="AL193" s="1016"/>
      <c r="AM193" s="1016"/>
      <c r="AN193" s="1016"/>
      <c r="AO193" s="1016"/>
      <c r="AP193" s="1016"/>
      <c r="AQ193" s="1016"/>
      <c r="AR193" s="1016"/>
      <c r="AS193" s="1016"/>
      <c r="AT193" s="1016"/>
      <c r="AU193" s="1016"/>
      <c r="AV193" s="1016"/>
      <c r="AW193" s="1016"/>
    </row>
    <row r="194" spans="2:49" x14ac:dyDescent="0.2">
      <c r="B194" s="1029"/>
      <c r="C194" s="1030"/>
      <c r="D194" s="1029"/>
      <c r="E194" s="1032"/>
      <c r="F194" s="1032"/>
      <c r="G194" s="1020"/>
      <c r="H194" s="1659"/>
      <c r="I194" s="1659"/>
      <c r="J194" s="1077" t="str">
        <f t="shared" si="11"/>
        <v/>
      </c>
      <c r="K194" s="1659"/>
      <c r="L194" s="1659"/>
      <c r="M194" s="1078" t="str">
        <f t="shared" si="12"/>
        <v/>
      </c>
      <c r="N194" s="1659"/>
      <c r="O194" s="1659"/>
      <c r="P194" s="1078" t="str">
        <f t="shared" si="13"/>
        <v/>
      </c>
      <c r="Q194" s="1659"/>
      <c r="R194" s="1659"/>
      <c r="S194" s="1078" t="str">
        <f t="shared" si="14"/>
        <v/>
      </c>
      <c r="T194" s="1661"/>
      <c r="U194" s="1659"/>
      <c r="V194" s="1078" t="str">
        <f t="shared" si="15"/>
        <v/>
      </c>
      <c r="W194" s="1016"/>
      <c r="X194" s="1016"/>
      <c r="Y194" s="1016"/>
      <c r="Z194" s="1016"/>
      <c r="AA194" s="1016"/>
      <c r="AB194" s="1016"/>
      <c r="AC194" s="1016"/>
      <c r="AD194" s="1016"/>
      <c r="AE194" s="1016"/>
      <c r="AF194" s="1016"/>
      <c r="AG194" s="1016"/>
      <c r="AH194" s="1016"/>
      <c r="AI194" s="1016"/>
      <c r="AJ194" s="1016"/>
      <c r="AK194" s="1016"/>
      <c r="AL194" s="1016"/>
      <c r="AM194" s="1016"/>
      <c r="AN194" s="1016"/>
      <c r="AO194" s="1016"/>
      <c r="AP194" s="1016"/>
      <c r="AQ194" s="1016"/>
      <c r="AR194" s="1016"/>
      <c r="AS194" s="1016"/>
      <c r="AT194" s="1016"/>
      <c r="AU194" s="1016"/>
      <c r="AV194" s="1016"/>
      <c r="AW194" s="1016"/>
    </row>
    <row r="195" spans="2:49" x14ac:dyDescent="0.2">
      <c r="B195" s="1029"/>
      <c r="C195" s="1030"/>
      <c r="D195" s="1029"/>
      <c r="E195" s="1032"/>
      <c r="F195" s="1032"/>
      <c r="G195" s="1020"/>
      <c r="H195" s="1659"/>
      <c r="I195" s="1659"/>
      <c r="J195" s="1077" t="str">
        <f t="shared" si="11"/>
        <v/>
      </c>
      <c r="K195" s="1659"/>
      <c r="L195" s="1659"/>
      <c r="M195" s="1078" t="str">
        <f t="shared" si="12"/>
        <v/>
      </c>
      <c r="N195" s="1659"/>
      <c r="O195" s="1659"/>
      <c r="P195" s="1078" t="str">
        <f t="shared" si="13"/>
        <v/>
      </c>
      <c r="Q195" s="1659"/>
      <c r="R195" s="1659"/>
      <c r="S195" s="1078" t="str">
        <f t="shared" si="14"/>
        <v/>
      </c>
      <c r="T195" s="1661"/>
      <c r="U195" s="1659"/>
      <c r="V195" s="1078" t="str">
        <f t="shared" si="15"/>
        <v/>
      </c>
      <c r="W195" s="1016"/>
      <c r="X195" s="1016"/>
      <c r="Y195" s="1016"/>
      <c r="Z195" s="1016"/>
      <c r="AA195" s="1016"/>
      <c r="AB195" s="1016"/>
      <c r="AC195" s="1016"/>
      <c r="AD195" s="1016"/>
      <c r="AE195" s="1016"/>
      <c r="AF195" s="1016"/>
      <c r="AG195" s="1016"/>
      <c r="AH195" s="1016"/>
      <c r="AI195" s="1016"/>
      <c r="AJ195" s="1016"/>
      <c r="AK195" s="1016"/>
      <c r="AL195" s="1016"/>
      <c r="AM195" s="1016"/>
      <c r="AN195" s="1016"/>
      <c r="AO195" s="1016"/>
      <c r="AP195" s="1016"/>
      <c r="AQ195" s="1016"/>
      <c r="AR195" s="1016"/>
      <c r="AS195" s="1016"/>
      <c r="AT195" s="1016"/>
      <c r="AU195" s="1016"/>
      <c r="AV195" s="1016"/>
      <c r="AW195" s="1016"/>
    </row>
    <row r="196" spans="2:49" x14ac:dyDescent="0.2">
      <c r="B196" s="1029"/>
      <c r="C196" s="1030"/>
      <c r="D196" s="1029"/>
      <c r="E196" s="1032"/>
      <c r="F196" s="1032"/>
      <c r="G196" s="1020"/>
      <c r="H196" s="1659"/>
      <c r="I196" s="1659"/>
      <c r="J196" s="1077" t="str">
        <f t="shared" si="11"/>
        <v/>
      </c>
      <c r="K196" s="1659"/>
      <c r="L196" s="1659"/>
      <c r="M196" s="1078" t="str">
        <f t="shared" si="12"/>
        <v/>
      </c>
      <c r="N196" s="1659"/>
      <c r="O196" s="1659"/>
      <c r="P196" s="1078" t="str">
        <f t="shared" si="13"/>
        <v/>
      </c>
      <c r="Q196" s="1659"/>
      <c r="R196" s="1659"/>
      <c r="S196" s="1078" t="str">
        <f t="shared" si="14"/>
        <v/>
      </c>
      <c r="T196" s="1661"/>
      <c r="U196" s="1659"/>
      <c r="V196" s="1078" t="str">
        <f t="shared" si="15"/>
        <v/>
      </c>
      <c r="W196" s="1016"/>
      <c r="X196" s="1016"/>
      <c r="Y196" s="1016"/>
      <c r="Z196" s="1016"/>
      <c r="AA196" s="1016"/>
      <c r="AB196" s="1016"/>
      <c r="AC196" s="1016"/>
      <c r="AD196" s="1016"/>
      <c r="AE196" s="1016"/>
      <c r="AF196" s="1016"/>
      <c r="AG196" s="1016"/>
      <c r="AH196" s="1016"/>
      <c r="AI196" s="1016"/>
      <c r="AJ196" s="1016"/>
      <c r="AK196" s="1016"/>
      <c r="AL196" s="1016"/>
      <c r="AM196" s="1016"/>
      <c r="AN196" s="1016"/>
      <c r="AO196" s="1016"/>
      <c r="AP196" s="1016"/>
      <c r="AQ196" s="1016"/>
      <c r="AR196" s="1016"/>
      <c r="AS196" s="1016"/>
      <c r="AT196" s="1016"/>
      <c r="AU196" s="1016"/>
      <c r="AV196" s="1016"/>
      <c r="AW196" s="1016"/>
    </row>
    <row r="197" spans="2:49" x14ac:dyDescent="0.2">
      <c r="B197" s="1029"/>
      <c r="C197" s="1030"/>
      <c r="D197" s="1029"/>
      <c r="E197" s="1032"/>
      <c r="F197" s="1032"/>
      <c r="G197" s="1020"/>
      <c r="H197" s="1659"/>
      <c r="I197" s="1659"/>
      <c r="J197" s="1077" t="str">
        <f t="shared" si="11"/>
        <v/>
      </c>
      <c r="K197" s="1659"/>
      <c r="L197" s="1659"/>
      <c r="M197" s="1078" t="str">
        <f t="shared" si="12"/>
        <v/>
      </c>
      <c r="N197" s="1659"/>
      <c r="O197" s="1659"/>
      <c r="P197" s="1078" t="str">
        <f t="shared" si="13"/>
        <v/>
      </c>
      <c r="Q197" s="1659"/>
      <c r="R197" s="1659"/>
      <c r="S197" s="1078" t="str">
        <f t="shared" si="14"/>
        <v/>
      </c>
      <c r="T197" s="1661"/>
      <c r="U197" s="1659"/>
      <c r="V197" s="1078" t="str">
        <f t="shared" si="15"/>
        <v/>
      </c>
      <c r="W197" s="1016"/>
      <c r="X197" s="1016"/>
      <c r="Y197" s="1016"/>
      <c r="Z197" s="1016"/>
      <c r="AA197" s="1016"/>
      <c r="AB197" s="1016"/>
      <c r="AC197" s="1016"/>
      <c r="AD197" s="1016"/>
      <c r="AE197" s="1016"/>
      <c r="AF197" s="1016"/>
      <c r="AG197" s="1016"/>
      <c r="AH197" s="1016"/>
      <c r="AI197" s="1016"/>
      <c r="AJ197" s="1016"/>
      <c r="AK197" s="1016"/>
      <c r="AL197" s="1016"/>
      <c r="AM197" s="1016"/>
      <c r="AN197" s="1016"/>
      <c r="AO197" s="1016"/>
      <c r="AP197" s="1016"/>
      <c r="AQ197" s="1016"/>
      <c r="AR197" s="1016"/>
      <c r="AS197" s="1016"/>
      <c r="AT197" s="1016"/>
      <c r="AU197" s="1016"/>
      <c r="AV197" s="1016"/>
      <c r="AW197" s="1016"/>
    </row>
    <row r="198" spans="2:49" x14ac:dyDescent="0.2">
      <c r="B198" s="1029"/>
      <c r="C198" s="1030"/>
      <c r="D198" s="1029"/>
      <c r="E198" s="1032"/>
      <c r="F198" s="1032"/>
      <c r="G198" s="1020"/>
      <c r="H198" s="1659"/>
      <c r="I198" s="1659"/>
      <c r="J198" s="1077" t="str">
        <f t="shared" si="11"/>
        <v/>
      </c>
      <c r="K198" s="1659"/>
      <c r="L198" s="1659"/>
      <c r="M198" s="1078" t="str">
        <f t="shared" si="12"/>
        <v/>
      </c>
      <c r="N198" s="1659"/>
      <c r="O198" s="1659"/>
      <c r="P198" s="1078" t="str">
        <f t="shared" si="13"/>
        <v/>
      </c>
      <c r="Q198" s="1659"/>
      <c r="R198" s="1659"/>
      <c r="S198" s="1078" t="str">
        <f t="shared" si="14"/>
        <v/>
      </c>
      <c r="T198" s="1661"/>
      <c r="U198" s="1659"/>
      <c r="V198" s="1078" t="str">
        <f t="shared" si="15"/>
        <v/>
      </c>
      <c r="W198" s="1016"/>
      <c r="X198" s="1016"/>
      <c r="Y198" s="1016"/>
      <c r="Z198" s="1016"/>
      <c r="AA198" s="1016"/>
      <c r="AB198" s="1016"/>
      <c r="AC198" s="1016"/>
      <c r="AD198" s="1016"/>
      <c r="AE198" s="1016"/>
      <c r="AF198" s="1016"/>
      <c r="AG198" s="1016"/>
      <c r="AH198" s="1016"/>
      <c r="AI198" s="1016"/>
      <c r="AJ198" s="1016"/>
      <c r="AK198" s="1016"/>
      <c r="AL198" s="1016"/>
      <c r="AM198" s="1016"/>
      <c r="AN198" s="1016"/>
      <c r="AO198" s="1016"/>
      <c r="AP198" s="1016"/>
      <c r="AQ198" s="1016"/>
      <c r="AR198" s="1016"/>
      <c r="AS198" s="1016"/>
      <c r="AT198" s="1016"/>
      <c r="AU198" s="1016"/>
      <c r="AV198" s="1016"/>
      <c r="AW198" s="1016"/>
    </row>
    <row r="199" spans="2:49" x14ac:dyDescent="0.2">
      <c r="B199" s="1029"/>
      <c r="C199" s="1030"/>
      <c r="D199" s="1029"/>
      <c r="E199" s="1032"/>
      <c r="F199" s="1032"/>
      <c r="G199" s="1020"/>
      <c r="H199" s="1659"/>
      <c r="I199" s="1659"/>
      <c r="J199" s="1077" t="str">
        <f t="shared" si="11"/>
        <v/>
      </c>
      <c r="K199" s="1659"/>
      <c r="L199" s="1659"/>
      <c r="M199" s="1078" t="str">
        <f t="shared" si="12"/>
        <v/>
      </c>
      <c r="N199" s="1659"/>
      <c r="O199" s="1659"/>
      <c r="P199" s="1078" t="str">
        <f t="shared" si="13"/>
        <v/>
      </c>
      <c r="Q199" s="1659"/>
      <c r="R199" s="1659"/>
      <c r="S199" s="1078" t="str">
        <f t="shared" si="14"/>
        <v/>
      </c>
      <c r="T199" s="1661"/>
      <c r="U199" s="1659"/>
      <c r="V199" s="1078" t="str">
        <f t="shared" si="15"/>
        <v/>
      </c>
      <c r="W199" s="1016"/>
      <c r="X199" s="1016"/>
      <c r="Y199" s="1016"/>
      <c r="Z199" s="1016"/>
      <c r="AA199" s="1016"/>
      <c r="AB199" s="1016"/>
      <c r="AC199" s="1016"/>
      <c r="AD199" s="1016"/>
      <c r="AE199" s="1016"/>
      <c r="AF199" s="1016"/>
      <c r="AG199" s="1016"/>
      <c r="AH199" s="1016"/>
      <c r="AI199" s="1016"/>
      <c r="AJ199" s="1016"/>
      <c r="AK199" s="1016"/>
      <c r="AL199" s="1016"/>
      <c r="AM199" s="1016"/>
      <c r="AN199" s="1016"/>
      <c r="AO199" s="1016"/>
      <c r="AP199" s="1016"/>
      <c r="AQ199" s="1016"/>
      <c r="AR199" s="1016"/>
      <c r="AS199" s="1016"/>
      <c r="AT199" s="1016"/>
      <c r="AU199" s="1016"/>
      <c r="AV199" s="1016"/>
      <c r="AW199" s="1016"/>
    </row>
    <row r="200" spans="2:49" x14ac:dyDescent="0.2">
      <c r="B200" s="1029"/>
      <c r="C200" s="1030"/>
      <c r="D200" s="1029"/>
      <c r="E200" s="1032"/>
      <c r="F200" s="1032"/>
      <c r="G200" s="1020"/>
      <c r="H200" s="1659"/>
      <c r="I200" s="1659"/>
      <c r="J200" s="1077" t="str">
        <f t="shared" si="11"/>
        <v/>
      </c>
      <c r="K200" s="1659"/>
      <c r="L200" s="1659"/>
      <c r="M200" s="1078" t="str">
        <f t="shared" si="12"/>
        <v/>
      </c>
      <c r="N200" s="1659"/>
      <c r="O200" s="1659"/>
      <c r="P200" s="1078" t="str">
        <f t="shared" si="13"/>
        <v/>
      </c>
      <c r="Q200" s="1659"/>
      <c r="R200" s="1659"/>
      <c r="S200" s="1078" t="str">
        <f t="shared" si="14"/>
        <v/>
      </c>
      <c r="T200" s="1661"/>
      <c r="U200" s="1659"/>
      <c r="V200" s="1078" t="str">
        <f t="shared" si="15"/>
        <v/>
      </c>
      <c r="W200" s="1016"/>
      <c r="X200" s="1016"/>
      <c r="Y200" s="1016"/>
      <c r="Z200" s="1016"/>
      <c r="AA200" s="1016"/>
      <c r="AB200" s="1016"/>
      <c r="AC200" s="1016"/>
      <c r="AD200" s="1016"/>
      <c r="AE200" s="1016"/>
      <c r="AF200" s="1016"/>
      <c r="AG200" s="1016"/>
      <c r="AH200" s="1016"/>
      <c r="AI200" s="1016"/>
      <c r="AJ200" s="1016"/>
      <c r="AK200" s="1016"/>
      <c r="AL200" s="1016"/>
      <c r="AM200" s="1016"/>
      <c r="AN200" s="1016"/>
      <c r="AO200" s="1016"/>
      <c r="AP200" s="1016"/>
      <c r="AQ200" s="1016"/>
      <c r="AR200" s="1016"/>
      <c r="AS200" s="1016"/>
      <c r="AT200" s="1016"/>
      <c r="AU200" s="1016"/>
      <c r="AV200" s="1016"/>
      <c r="AW200" s="1016"/>
    </row>
    <row r="201" spans="2:49" x14ac:dyDescent="0.2">
      <c r="B201" s="1029"/>
      <c r="C201" s="1030"/>
      <c r="D201" s="1029"/>
      <c r="E201" s="1032"/>
      <c r="F201" s="1032"/>
      <c r="G201" s="1020"/>
      <c r="H201" s="1659"/>
      <c r="I201" s="1659"/>
      <c r="J201" s="1077" t="str">
        <f t="shared" si="11"/>
        <v/>
      </c>
      <c r="K201" s="1659"/>
      <c r="L201" s="1659"/>
      <c r="M201" s="1078" t="str">
        <f t="shared" si="12"/>
        <v/>
      </c>
      <c r="N201" s="1659"/>
      <c r="O201" s="1659"/>
      <c r="P201" s="1078" t="str">
        <f t="shared" si="13"/>
        <v/>
      </c>
      <c r="Q201" s="1659"/>
      <c r="R201" s="1659"/>
      <c r="S201" s="1078" t="str">
        <f t="shared" si="14"/>
        <v/>
      </c>
      <c r="T201" s="1661"/>
      <c r="U201" s="1659"/>
      <c r="V201" s="1078" t="str">
        <f t="shared" si="15"/>
        <v/>
      </c>
      <c r="W201" s="1016"/>
      <c r="X201" s="1016"/>
      <c r="Y201" s="1016"/>
      <c r="Z201" s="1016"/>
      <c r="AA201" s="1016"/>
      <c r="AB201" s="1016"/>
      <c r="AC201" s="1016"/>
      <c r="AD201" s="1016"/>
      <c r="AE201" s="1016"/>
      <c r="AF201" s="1016"/>
      <c r="AG201" s="1016"/>
      <c r="AH201" s="1016"/>
      <c r="AI201" s="1016"/>
      <c r="AJ201" s="1016"/>
      <c r="AK201" s="1016"/>
      <c r="AL201" s="1016"/>
      <c r="AM201" s="1016"/>
      <c r="AN201" s="1016"/>
      <c r="AO201" s="1016"/>
      <c r="AP201" s="1016"/>
      <c r="AQ201" s="1016"/>
      <c r="AR201" s="1016"/>
      <c r="AS201" s="1016"/>
      <c r="AT201" s="1016"/>
      <c r="AU201" s="1016"/>
      <c r="AV201" s="1016"/>
      <c r="AW201" s="1016"/>
    </row>
    <row r="202" spans="2:49" x14ac:dyDescent="0.2">
      <c r="B202" s="1029"/>
      <c r="C202" s="1030"/>
      <c r="D202" s="1029"/>
      <c r="E202" s="1032"/>
      <c r="F202" s="1032"/>
      <c r="G202" s="1020"/>
      <c r="H202" s="1659"/>
      <c r="I202" s="1659"/>
      <c r="J202" s="1077" t="str">
        <f t="shared" si="11"/>
        <v/>
      </c>
      <c r="K202" s="1659"/>
      <c r="L202" s="1659"/>
      <c r="M202" s="1078" t="str">
        <f t="shared" si="12"/>
        <v/>
      </c>
      <c r="N202" s="1659"/>
      <c r="O202" s="1659"/>
      <c r="P202" s="1078" t="str">
        <f t="shared" si="13"/>
        <v/>
      </c>
      <c r="Q202" s="1659"/>
      <c r="R202" s="1659"/>
      <c r="S202" s="1078" t="str">
        <f t="shared" si="14"/>
        <v/>
      </c>
      <c r="T202" s="1661"/>
      <c r="U202" s="1659"/>
      <c r="V202" s="1078" t="str">
        <f t="shared" si="15"/>
        <v/>
      </c>
      <c r="W202" s="1016"/>
      <c r="X202" s="1016"/>
      <c r="Y202" s="1016"/>
      <c r="Z202" s="1016"/>
      <c r="AA202" s="1016"/>
      <c r="AB202" s="1016"/>
      <c r="AC202" s="1016"/>
      <c r="AD202" s="1016"/>
      <c r="AE202" s="1016"/>
      <c r="AF202" s="1016"/>
      <c r="AG202" s="1016"/>
      <c r="AH202" s="1016"/>
      <c r="AI202" s="1016"/>
      <c r="AJ202" s="1016"/>
      <c r="AK202" s="1016"/>
      <c r="AL202" s="1016"/>
      <c r="AM202" s="1016"/>
      <c r="AN202" s="1016"/>
      <c r="AO202" s="1016"/>
      <c r="AP202" s="1016"/>
      <c r="AQ202" s="1016"/>
      <c r="AR202" s="1016"/>
      <c r="AS202" s="1016"/>
      <c r="AT202" s="1016"/>
      <c r="AU202" s="1016"/>
      <c r="AV202" s="1016"/>
      <c r="AW202" s="1016"/>
    </row>
    <row r="203" spans="2:49" x14ac:dyDescent="0.2">
      <c r="B203" s="1029"/>
      <c r="C203" s="1030"/>
      <c r="D203" s="1029"/>
      <c r="E203" s="1032"/>
      <c r="F203" s="1032"/>
      <c r="G203" s="1020"/>
      <c r="H203" s="1659"/>
      <c r="I203" s="1659"/>
      <c r="J203" s="1077" t="str">
        <f t="shared" si="11"/>
        <v/>
      </c>
      <c r="K203" s="1659"/>
      <c r="L203" s="1659"/>
      <c r="M203" s="1078" t="str">
        <f t="shared" si="12"/>
        <v/>
      </c>
      <c r="N203" s="1659"/>
      <c r="O203" s="1659"/>
      <c r="P203" s="1078" t="str">
        <f t="shared" si="13"/>
        <v/>
      </c>
      <c r="Q203" s="1659"/>
      <c r="R203" s="1659"/>
      <c r="S203" s="1078" t="str">
        <f t="shared" si="14"/>
        <v/>
      </c>
      <c r="T203" s="1661"/>
      <c r="U203" s="1659"/>
      <c r="V203" s="1078" t="str">
        <f t="shared" si="15"/>
        <v/>
      </c>
      <c r="W203" s="1016"/>
      <c r="X203" s="1016"/>
      <c r="Y203" s="1016"/>
      <c r="Z203" s="1016"/>
      <c r="AA203" s="1016"/>
      <c r="AB203" s="1016"/>
      <c r="AC203" s="1016"/>
      <c r="AD203" s="1016"/>
      <c r="AE203" s="1016"/>
      <c r="AF203" s="1016"/>
      <c r="AG203" s="1016"/>
      <c r="AH203" s="1016"/>
      <c r="AI203" s="1016"/>
      <c r="AJ203" s="1016"/>
      <c r="AK203" s="1016"/>
      <c r="AL203" s="1016"/>
      <c r="AM203" s="1016"/>
      <c r="AN203" s="1016"/>
      <c r="AO203" s="1016"/>
      <c r="AP203" s="1016"/>
      <c r="AQ203" s="1016"/>
      <c r="AR203" s="1016"/>
      <c r="AS203" s="1016"/>
      <c r="AT203" s="1016"/>
      <c r="AU203" s="1016"/>
      <c r="AV203" s="1016"/>
      <c r="AW203" s="1016"/>
    </row>
    <row r="204" spans="2:49" x14ac:dyDescent="0.2">
      <c r="B204" s="1029"/>
      <c r="C204" s="1030"/>
      <c r="D204" s="1029"/>
      <c r="E204" s="1032"/>
      <c r="F204" s="1032"/>
      <c r="G204" s="1020"/>
      <c r="H204" s="1659"/>
      <c r="I204" s="1659"/>
      <c r="J204" s="1077" t="str">
        <f t="shared" si="11"/>
        <v/>
      </c>
      <c r="K204" s="1659"/>
      <c r="L204" s="1659"/>
      <c r="M204" s="1078" t="str">
        <f t="shared" si="12"/>
        <v/>
      </c>
      <c r="N204" s="1659"/>
      <c r="O204" s="1659"/>
      <c r="P204" s="1078" t="str">
        <f t="shared" si="13"/>
        <v/>
      </c>
      <c r="Q204" s="1659"/>
      <c r="R204" s="1659"/>
      <c r="S204" s="1078" t="str">
        <f t="shared" si="14"/>
        <v/>
      </c>
      <c r="T204" s="1661"/>
      <c r="U204" s="1659"/>
      <c r="V204" s="1078" t="str">
        <f t="shared" si="15"/>
        <v/>
      </c>
      <c r="W204" s="1016"/>
      <c r="X204" s="1016"/>
      <c r="Y204" s="1016"/>
      <c r="Z204" s="1016"/>
      <c r="AA204" s="1016"/>
      <c r="AB204" s="1016"/>
      <c r="AC204" s="1016"/>
      <c r="AD204" s="1016"/>
      <c r="AE204" s="1016"/>
      <c r="AF204" s="1016"/>
      <c r="AG204" s="1016"/>
      <c r="AH204" s="1016"/>
      <c r="AI204" s="1016"/>
      <c r="AJ204" s="1016"/>
      <c r="AK204" s="1016"/>
      <c r="AL204" s="1016"/>
      <c r="AM204" s="1016"/>
      <c r="AN204" s="1016"/>
      <c r="AO204" s="1016"/>
      <c r="AP204" s="1016"/>
      <c r="AQ204" s="1016"/>
      <c r="AR204" s="1016"/>
      <c r="AS204" s="1016"/>
      <c r="AT204" s="1016"/>
      <c r="AU204" s="1016"/>
      <c r="AV204" s="1016"/>
      <c r="AW204" s="1016"/>
    </row>
    <row r="205" spans="2:49" x14ac:dyDescent="0.2">
      <c r="B205" s="1029"/>
      <c r="C205" s="1030"/>
      <c r="D205" s="1029"/>
      <c r="E205" s="1032"/>
      <c r="F205" s="1032"/>
      <c r="G205" s="1020"/>
      <c r="H205" s="1659"/>
      <c r="I205" s="1659"/>
      <c r="J205" s="1077" t="str">
        <f t="shared" si="11"/>
        <v/>
      </c>
      <c r="K205" s="1659"/>
      <c r="L205" s="1659"/>
      <c r="M205" s="1078" t="str">
        <f t="shared" si="12"/>
        <v/>
      </c>
      <c r="N205" s="1659"/>
      <c r="O205" s="1659"/>
      <c r="P205" s="1078" t="str">
        <f t="shared" si="13"/>
        <v/>
      </c>
      <c r="Q205" s="1659"/>
      <c r="R205" s="1659"/>
      <c r="S205" s="1078" t="str">
        <f t="shared" si="14"/>
        <v/>
      </c>
      <c r="T205" s="1661"/>
      <c r="U205" s="1659"/>
      <c r="V205" s="1078" t="str">
        <f t="shared" si="15"/>
        <v/>
      </c>
      <c r="W205" s="1016"/>
      <c r="X205" s="1016"/>
      <c r="Y205" s="1016"/>
      <c r="Z205" s="1016"/>
      <c r="AA205" s="1016"/>
      <c r="AB205" s="1016"/>
      <c r="AC205" s="1016"/>
      <c r="AD205" s="1016"/>
      <c r="AE205" s="1016"/>
      <c r="AF205" s="1016"/>
      <c r="AG205" s="1016"/>
      <c r="AH205" s="1016"/>
      <c r="AI205" s="1016"/>
      <c r="AJ205" s="1016"/>
      <c r="AK205" s="1016"/>
      <c r="AL205" s="1016"/>
      <c r="AM205" s="1016"/>
      <c r="AN205" s="1016"/>
      <c r="AO205" s="1016"/>
      <c r="AP205" s="1016"/>
      <c r="AQ205" s="1016"/>
      <c r="AR205" s="1016"/>
      <c r="AS205" s="1016"/>
      <c r="AT205" s="1016"/>
      <c r="AU205" s="1016"/>
      <c r="AV205" s="1016"/>
      <c r="AW205" s="1016"/>
    </row>
    <row r="206" spans="2:49" x14ac:dyDescent="0.2">
      <c r="B206" s="1029"/>
      <c r="C206" s="1030"/>
      <c r="D206" s="1029"/>
      <c r="E206" s="1032"/>
      <c r="F206" s="1032"/>
      <c r="G206" s="1020"/>
      <c r="H206" s="1659"/>
      <c r="I206" s="1659"/>
      <c r="J206" s="1077" t="str">
        <f t="shared" si="11"/>
        <v/>
      </c>
      <c r="K206" s="1659"/>
      <c r="L206" s="1659"/>
      <c r="M206" s="1078" t="str">
        <f t="shared" si="12"/>
        <v/>
      </c>
      <c r="N206" s="1659"/>
      <c r="O206" s="1659"/>
      <c r="P206" s="1078" t="str">
        <f t="shared" si="13"/>
        <v/>
      </c>
      <c r="Q206" s="1659"/>
      <c r="R206" s="1659"/>
      <c r="S206" s="1078" t="str">
        <f t="shared" si="14"/>
        <v/>
      </c>
      <c r="T206" s="1661"/>
      <c r="U206" s="1659"/>
      <c r="V206" s="1078" t="str">
        <f t="shared" si="15"/>
        <v/>
      </c>
      <c r="W206" s="1016"/>
      <c r="X206" s="1016"/>
      <c r="Y206" s="1016"/>
      <c r="Z206" s="1016"/>
      <c r="AA206" s="1016"/>
      <c r="AB206" s="1016"/>
      <c r="AC206" s="1016"/>
      <c r="AD206" s="1016"/>
      <c r="AE206" s="1016"/>
      <c r="AF206" s="1016"/>
      <c r="AG206" s="1016"/>
      <c r="AH206" s="1016"/>
      <c r="AI206" s="1016"/>
      <c r="AJ206" s="1016"/>
      <c r="AK206" s="1016"/>
      <c r="AL206" s="1016"/>
      <c r="AM206" s="1016"/>
      <c r="AN206" s="1016"/>
      <c r="AO206" s="1016"/>
      <c r="AP206" s="1016"/>
      <c r="AQ206" s="1016"/>
      <c r="AR206" s="1016"/>
      <c r="AS206" s="1016"/>
      <c r="AT206" s="1016"/>
      <c r="AU206" s="1016"/>
      <c r="AV206" s="1016"/>
      <c r="AW206" s="1016"/>
    </row>
    <row r="207" spans="2:49" x14ac:dyDescent="0.2">
      <c r="B207" s="1029"/>
      <c r="C207" s="1030"/>
      <c r="D207" s="1029"/>
      <c r="E207" s="1032"/>
      <c r="F207" s="1032"/>
      <c r="G207" s="1020"/>
      <c r="H207" s="1659"/>
      <c r="I207" s="1659"/>
      <c r="J207" s="1077" t="str">
        <f t="shared" si="11"/>
        <v/>
      </c>
      <c r="K207" s="1659"/>
      <c r="L207" s="1659"/>
      <c r="M207" s="1078" t="str">
        <f t="shared" si="12"/>
        <v/>
      </c>
      <c r="N207" s="1659"/>
      <c r="O207" s="1659"/>
      <c r="P207" s="1078" t="str">
        <f t="shared" si="13"/>
        <v/>
      </c>
      <c r="Q207" s="1659"/>
      <c r="R207" s="1659"/>
      <c r="S207" s="1078" t="str">
        <f t="shared" si="14"/>
        <v/>
      </c>
      <c r="T207" s="1661"/>
      <c r="U207" s="1659"/>
      <c r="V207" s="1078" t="str">
        <f t="shared" si="15"/>
        <v/>
      </c>
      <c r="W207" s="1016"/>
      <c r="X207" s="1016"/>
      <c r="Y207" s="1016"/>
      <c r="Z207" s="1016"/>
      <c r="AA207" s="1016"/>
      <c r="AB207" s="1016"/>
      <c r="AC207" s="1016"/>
      <c r="AD207" s="1016"/>
      <c r="AE207" s="1016"/>
      <c r="AF207" s="1016"/>
      <c r="AG207" s="1016"/>
      <c r="AH207" s="1016"/>
      <c r="AI207" s="1016"/>
      <c r="AJ207" s="1016"/>
      <c r="AK207" s="1016"/>
      <c r="AL207" s="1016"/>
      <c r="AM207" s="1016"/>
      <c r="AN207" s="1016"/>
      <c r="AO207" s="1016"/>
      <c r="AP207" s="1016"/>
      <c r="AQ207" s="1016"/>
      <c r="AR207" s="1016"/>
      <c r="AS207" s="1016"/>
      <c r="AT207" s="1016"/>
      <c r="AU207" s="1016"/>
      <c r="AV207" s="1016"/>
      <c r="AW207" s="1016"/>
    </row>
    <row r="208" spans="2:49" x14ac:dyDescent="0.2">
      <c r="B208" s="1029"/>
      <c r="C208" s="1030"/>
      <c r="D208" s="1029"/>
      <c r="E208" s="1032"/>
      <c r="F208" s="1032"/>
      <c r="G208" s="1020"/>
      <c r="H208" s="1659"/>
      <c r="I208" s="1659"/>
      <c r="J208" s="1077" t="str">
        <f t="shared" si="11"/>
        <v/>
      </c>
      <c r="K208" s="1659"/>
      <c r="L208" s="1659"/>
      <c r="M208" s="1078" t="str">
        <f t="shared" si="12"/>
        <v/>
      </c>
      <c r="N208" s="1659"/>
      <c r="O208" s="1659"/>
      <c r="P208" s="1078" t="str">
        <f t="shared" si="13"/>
        <v/>
      </c>
      <c r="Q208" s="1659"/>
      <c r="R208" s="1659"/>
      <c r="S208" s="1078" t="str">
        <f t="shared" si="14"/>
        <v/>
      </c>
      <c r="T208" s="1661"/>
      <c r="U208" s="1659"/>
      <c r="V208" s="1078" t="str">
        <f t="shared" si="15"/>
        <v/>
      </c>
      <c r="W208" s="1016"/>
      <c r="X208" s="1016"/>
      <c r="Y208" s="1016"/>
      <c r="Z208" s="1016"/>
      <c r="AA208" s="1016"/>
      <c r="AB208" s="1016"/>
      <c r="AC208" s="1016"/>
      <c r="AD208" s="1016"/>
      <c r="AE208" s="1016"/>
      <c r="AF208" s="1016"/>
      <c r="AG208" s="1016"/>
      <c r="AH208" s="1016"/>
      <c r="AI208" s="1016"/>
      <c r="AJ208" s="1016"/>
      <c r="AK208" s="1016"/>
      <c r="AL208" s="1016"/>
      <c r="AM208" s="1016"/>
      <c r="AN208" s="1016"/>
      <c r="AO208" s="1016"/>
      <c r="AP208" s="1016"/>
      <c r="AQ208" s="1016"/>
      <c r="AR208" s="1016"/>
      <c r="AS208" s="1016"/>
      <c r="AT208" s="1016"/>
      <c r="AU208" s="1016"/>
      <c r="AV208" s="1016"/>
      <c r="AW208" s="1016"/>
    </row>
    <row r="209" spans="2:49" x14ac:dyDescent="0.2">
      <c r="B209" s="1029"/>
      <c r="C209" s="1030"/>
      <c r="D209" s="1029"/>
      <c r="E209" s="1032"/>
      <c r="F209" s="1032"/>
      <c r="G209" s="1020"/>
      <c r="H209" s="1659"/>
      <c r="I209" s="1659"/>
      <c r="J209" s="1077" t="str">
        <f t="shared" si="11"/>
        <v/>
      </c>
      <c r="K209" s="1659"/>
      <c r="L209" s="1659"/>
      <c r="M209" s="1078" t="str">
        <f t="shared" si="12"/>
        <v/>
      </c>
      <c r="N209" s="1659"/>
      <c r="O209" s="1659"/>
      <c r="P209" s="1078" t="str">
        <f t="shared" si="13"/>
        <v/>
      </c>
      <c r="Q209" s="1659"/>
      <c r="R209" s="1659"/>
      <c r="S209" s="1078" t="str">
        <f t="shared" si="14"/>
        <v/>
      </c>
      <c r="T209" s="1661"/>
      <c r="U209" s="1659"/>
      <c r="V209" s="1078" t="str">
        <f t="shared" si="15"/>
        <v/>
      </c>
      <c r="W209" s="1016"/>
      <c r="X209" s="1016"/>
      <c r="Y209" s="1016"/>
      <c r="Z209" s="1016"/>
      <c r="AA209" s="1016"/>
      <c r="AB209" s="1016"/>
      <c r="AC209" s="1016"/>
      <c r="AD209" s="1016"/>
      <c r="AE209" s="1016"/>
      <c r="AF209" s="1016"/>
      <c r="AG209" s="1016"/>
      <c r="AH209" s="1016"/>
      <c r="AI209" s="1016"/>
      <c r="AJ209" s="1016"/>
      <c r="AK209" s="1016"/>
      <c r="AL209" s="1016"/>
      <c r="AM209" s="1016"/>
      <c r="AN209" s="1016"/>
      <c r="AO209" s="1016"/>
      <c r="AP209" s="1016"/>
      <c r="AQ209" s="1016"/>
      <c r="AR209" s="1016"/>
      <c r="AS209" s="1016"/>
      <c r="AT209" s="1016"/>
      <c r="AU209" s="1016"/>
      <c r="AV209" s="1016"/>
      <c r="AW209" s="1016"/>
    </row>
    <row r="210" spans="2:49" x14ac:dyDescent="0.2">
      <c r="B210" s="1029"/>
      <c r="C210" s="1030"/>
      <c r="D210" s="1029"/>
      <c r="E210" s="1032"/>
      <c r="F210" s="1032"/>
      <c r="G210" s="1020"/>
      <c r="H210" s="1659"/>
      <c r="I210" s="1659"/>
      <c r="J210" s="1077" t="str">
        <f t="shared" si="11"/>
        <v/>
      </c>
      <c r="K210" s="1659"/>
      <c r="L210" s="1659"/>
      <c r="M210" s="1078" t="str">
        <f t="shared" si="12"/>
        <v/>
      </c>
      <c r="N210" s="1659"/>
      <c r="O210" s="1659"/>
      <c r="P210" s="1078" t="str">
        <f t="shared" si="13"/>
        <v/>
      </c>
      <c r="Q210" s="1659"/>
      <c r="R210" s="1659"/>
      <c r="S210" s="1078" t="str">
        <f t="shared" si="14"/>
        <v/>
      </c>
      <c r="T210" s="1661"/>
      <c r="U210" s="1659"/>
      <c r="V210" s="1078" t="str">
        <f t="shared" si="15"/>
        <v/>
      </c>
      <c r="W210" s="1016"/>
      <c r="X210" s="1016"/>
      <c r="Y210" s="1016"/>
      <c r="Z210" s="1016"/>
      <c r="AA210" s="1016"/>
      <c r="AB210" s="1016"/>
      <c r="AC210" s="1016"/>
      <c r="AD210" s="1016"/>
      <c r="AE210" s="1016"/>
      <c r="AF210" s="1016"/>
      <c r="AG210" s="1016"/>
      <c r="AH210" s="1016"/>
      <c r="AI210" s="1016"/>
      <c r="AJ210" s="1016"/>
      <c r="AK210" s="1016"/>
      <c r="AL210" s="1016"/>
      <c r="AM210" s="1016"/>
      <c r="AN210" s="1016"/>
      <c r="AO210" s="1016"/>
      <c r="AP210" s="1016"/>
      <c r="AQ210" s="1016"/>
      <c r="AR210" s="1016"/>
      <c r="AS210" s="1016"/>
      <c r="AT210" s="1016"/>
      <c r="AU210" s="1016"/>
      <c r="AV210" s="1016"/>
      <c r="AW210" s="1016"/>
    </row>
    <row r="211" spans="2:49" x14ac:dyDescent="0.2">
      <c r="B211" s="1029"/>
      <c r="C211" s="1030"/>
      <c r="D211" s="1029"/>
      <c r="E211" s="1032"/>
      <c r="F211" s="1032"/>
      <c r="G211" s="1020"/>
      <c r="H211" s="1659"/>
      <c r="I211" s="1659"/>
      <c r="J211" s="1077" t="str">
        <f t="shared" si="11"/>
        <v/>
      </c>
      <c r="K211" s="1659"/>
      <c r="L211" s="1659"/>
      <c r="M211" s="1078" t="str">
        <f t="shared" si="12"/>
        <v/>
      </c>
      <c r="N211" s="1659"/>
      <c r="O211" s="1659"/>
      <c r="P211" s="1078" t="str">
        <f t="shared" si="13"/>
        <v/>
      </c>
      <c r="Q211" s="1659"/>
      <c r="R211" s="1659"/>
      <c r="S211" s="1078" t="str">
        <f t="shared" si="14"/>
        <v/>
      </c>
      <c r="T211" s="1661"/>
      <c r="U211" s="1659"/>
      <c r="V211" s="1078" t="str">
        <f t="shared" si="15"/>
        <v/>
      </c>
      <c r="W211" s="1016"/>
      <c r="X211" s="1016"/>
      <c r="Y211" s="1016"/>
      <c r="Z211" s="1016"/>
      <c r="AA211" s="1016"/>
      <c r="AB211" s="1016"/>
      <c r="AC211" s="1016"/>
      <c r="AD211" s="1016"/>
      <c r="AE211" s="1016"/>
      <c r="AF211" s="1016"/>
      <c r="AG211" s="1016"/>
      <c r="AH211" s="1016"/>
      <c r="AI211" s="1016"/>
      <c r="AJ211" s="1016"/>
      <c r="AK211" s="1016"/>
      <c r="AL211" s="1016"/>
      <c r="AM211" s="1016"/>
      <c r="AN211" s="1016"/>
      <c r="AO211" s="1016"/>
      <c r="AP211" s="1016"/>
      <c r="AQ211" s="1016"/>
      <c r="AR211" s="1016"/>
      <c r="AS211" s="1016"/>
      <c r="AT211" s="1016"/>
      <c r="AU211" s="1016"/>
      <c r="AV211" s="1016"/>
      <c r="AW211" s="1016"/>
    </row>
    <row r="212" spans="2:49" x14ac:dyDescent="0.2">
      <c r="B212" s="1029"/>
      <c r="C212" s="1030"/>
      <c r="D212" s="1029"/>
      <c r="E212" s="1032"/>
      <c r="F212" s="1032"/>
      <c r="G212" s="1020"/>
      <c r="H212" s="1659"/>
      <c r="I212" s="1659"/>
      <c r="J212" s="1077" t="str">
        <f t="shared" si="11"/>
        <v/>
      </c>
      <c r="K212" s="1659"/>
      <c r="L212" s="1659"/>
      <c r="M212" s="1078" t="str">
        <f t="shared" si="12"/>
        <v/>
      </c>
      <c r="N212" s="1659"/>
      <c r="O212" s="1659"/>
      <c r="P212" s="1078" t="str">
        <f t="shared" si="13"/>
        <v/>
      </c>
      <c r="Q212" s="1659"/>
      <c r="R212" s="1659"/>
      <c r="S212" s="1078" t="str">
        <f t="shared" si="14"/>
        <v/>
      </c>
      <c r="T212" s="1661"/>
      <c r="U212" s="1659"/>
      <c r="V212" s="1078" t="str">
        <f t="shared" si="15"/>
        <v/>
      </c>
      <c r="W212" s="1016"/>
      <c r="X212" s="1016"/>
      <c r="Y212" s="1016"/>
      <c r="Z212" s="1016"/>
      <c r="AA212" s="1016"/>
      <c r="AB212" s="1016"/>
      <c r="AC212" s="1016"/>
      <c r="AD212" s="1016"/>
      <c r="AE212" s="1016"/>
      <c r="AF212" s="1016"/>
      <c r="AG212" s="1016"/>
      <c r="AH212" s="1016"/>
      <c r="AI212" s="1016"/>
      <c r="AJ212" s="1016"/>
      <c r="AK212" s="1016"/>
      <c r="AL212" s="1016"/>
      <c r="AM212" s="1016"/>
      <c r="AN212" s="1016"/>
      <c r="AO212" s="1016"/>
      <c r="AP212" s="1016"/>
      <c r="AQ212" s="1016"/>
      <c r="AR212" s="1016"/>
      <c r="AS212" s="1016"/>
      <c r="AT212" s="1016"/>
      <c r="AU212" s="1016"/>
      <c r="AV212" s="1016"/>
      <c r="AW212" s="1016"/>
    </row>
    <row r="213" spans="2:49" x14ac:dyDescent="0.2">
      <c r="B213" s="1029"/>
      <c r="C213" s="1030"/>
      <c r="D213" s="1029"/>
      <c r="E213" s="1032"/>
      <c r="F213" s="1032"/>
      <c r="G213" s="1020"/>
      <c r="H213" s="1659"/>
      <c r="I213" s="1659"/>
      <c r="J213" s="1077" t="str">
        <f t="shared" si="11"/>
        <v/>
      </c>
      <c r="K213" s="1659"/>
      <c r="L213" s="1659"/>
      <c r="M213" s="1078" t="str">
        <f t="shared" si="12"/>
        <v/>
      </c>
      <c r="N213" s="1659"/>
      <c r="O213" s="1659"/>
      <c r="P213" s="1078" t="str">
        <f t="shared" si="13"/>
        <v/>
      </c>
      <c r="Q213" s="1659"/>
      <c r="R213" s="1659"/>
      <c r="S213" s="1078" t="str">
        <f t="shared" si="14"/>
        <v/>
      </c>
      <c r="T213" s="1661"/>
      <c r="U213" s="1659"/>
      <c r="V213" s="1078" t="str">
        <f t="shared" si="15"/>
        <v/>
      </c>
      <c r="W213" s="1016"/>
      <c r="X213" s="1016"/>
      <c r="Y213" s="1016"/>
      <c r="Z213" s="1016"/>
      <c r="AA213" s="1016"/>
      <c r="AB213" s="1016"/>
      <c r="AC213" s="1016"/>
      <c r="AD213" s="1016"/>
      <c r="AE213" s="1016"/>
      <c r="AF213" s="1016"/>
      <c r="AG213" s="1016"/>
      <c r="AH213" s="1016"/>
      <c r="AI213" s="1016"/>
      <c r="AJ213" s="1016"/>
      <c r="AK213" s="1016"/>
      <c r="AL213" s="1016"/>
      <c r="AM213" s="1016"/>
      <c r="AN213" s="1016"/>
      <c r="AO213" s="1016"/>
      <c r="AP213" s="1016"/>
      <c r="AQ213" s="1016"/>
      <c r="AR213" s="1016"/>
      <c r="AS213" s="1016"/>
      <c r="AT213" s="1016"/>
      <c r="AU213" s="1016"/>
      <c r="AV213" s="1016"/>
      <c r="AW213" s="1016"/>
    </row>
    <row r="214" spans="2:49" x14ac:dyDescent="0.2">
      <c r="B214" s="1029"/>
      <c r="C214" s="1030"/>
      <c r="D214" s="1029"/>
      <c r="E214" s="1032"/>
      <c r="F214" s="1032"/>
      <c r="G214" s="1020"/>
      <c r="H214" s="1659"/>
      <c r="I214" s="1659"/>
      <c r="J214" s="1077" t="str">
        <f t="shared" si="11"/>
        <v/>
      </c>
      <c r="K214" s="1659"/>
      <c r="L214" s="1659"/>
      <c r="M214" s="1078" t="str">
        <f t="shared" si="12"/>
        <v/>
      </c>
      <c r="N214" s="1659"/>
      <c r="O214" s="1659"/>
      <c r="P214" s="1078" t="str">
        <f t="shared" si="13"/>
        <v/>
      </c>
      <c r="Q214" s="1659"/>
      <c r="R214" s="1659"/>
      <c r="S214" s="1078" t="str">
        <f t="shared" si="14"/>
        <v/>
      </c>
      <c r="T214" s="1661"/>
      <c r="U214" s="1659"/>
      <c r="V214" s="1078" t="str">
        <f t="shared" si="15"/>
        <v/>
      </c>
      <c r="W214" s="1016"/>
      <c r="X214" s="1016"/>
      <c r="Y214" s="1016"/>
      <c r="Z214" s="1016"/>
      <c r="AA214" s="1016"/>
      <c r="AB214" s="1016"/>
      <c r="AC214" s="1016"/>
      <c r="AD214" s="1016"/>
      <c r="AE214" s="1016"/>
      <c r="AF214" s="1016"/>
      <c r="AG214" s="1016"/>
      <c r="AH214" s="1016"/>
      <c r="AI214" s="1016"/>
      <c r="AJ214" s="1016"/>
      <c r="AK214" s="1016"/>
      <c r="AL214" s="1016"/>
      <c r="AM214" s="1016"/>
      <c r="AN214" s="1016"/>
      <c r="AO214" s="1016"/>
      <c r="AP214" s="1016"/>
      <c r="AQ214" s="1016"/>
      <c r="AR214" s="1016"/>
      <c r="AS214" s="1016"/>
      <c r="AT214" s="1016"/>
      <c r="AU214" s="1016"/>
      <c r="AV214" s="1016"/>
      <c r="AW214" s="1016"/>
    </row>
    <row r="215" spans="2:49" x14ac:dyDescent="0.2">
      <c r="B215" s="1029"/>
      <c r="C215" s="1030"/>
      <c r="D215" s="1029"/>
      <c r="E215" s="1032"/>
      <c r="F215" s="1032"/>
      <c r="G215" s="1020"/>
      <c r="H215" s="1659"/>
      <c r="I215" s="1659"/>
      <c r="J215" s="1077" t="str">
        <f t="shared" si="11"/>
        <v/>
      </c>
      <c r="K215" s="1659"/>
      <c r="L215" s="1659"/>
      <c r="M215" s="1078" t="str">
        <f t="shared" si="12"/>
        <v/>
      </c>
      <c r="N215" s="1659"/>
      <c r="O215" s="1659"/>
      <c r="P215" s="1078" t="str">
        <f t="shared" si="13"/>
        <v/>
      </c>
      <c r="Q215" s="1659"/>
      <c r="R215" s="1659"/>
      <c r="S215" s="1078" t="str">
        <f t="shared" si="14"/>
        <v/>
      </c>
      <c r="T215" s="1661"/>
      <c r="U215" s="1659"/>
      <c r="V215" s="1078" t="str">
        <f t="shared" si="15"/>
        <v/>
      </c>
      <c r="W215" s="1016"/>
      <c r="X215" s="1016"/>
      <c r="Y215" s="1016"/>
      <c r="Z215" s="1016"/>
      <c r="AA215" s="1016"/>
      <c r="AB215" s="1016"/>
      <c r="AC215" s="1016"/>
      <c r="AD215" s="1016"/>
      <c r="AE215" s="1016"/>
      <c r="AF215" s="1016"/>
      <c r="AG215" s="1016"/>
      <c r="AH215" s="1016"/>
      <c r="AI215" s="1016"/>
      <c r="AJ215" s="1016"/>
      <c r="AK215" s="1016"/>
      <c r="AL215" s="1016"/>
      <c r="AM215" s="1016"/>
      <c r="AN215" s="1016"/>
      <c r="AO215" s="1016"/>
      <c r="AP215" s="1016"/>
      <c r="AQ215" s="1016"/>
      <c r="AR215" s="1016"/>
      <c r="AS215" s="1016"/>
      <c r="AT215" s="1016"/>
      <c r="AU215" s="1016"/>
      <c r="AV215" s="1016"/>
      <c r="AW215" s="1016"/>
    </row>
    <row r="216" spans="2:49" x14ac:dyDescent="0.2">
      <c r="B216" s="1029"/>
      <c r="C216" s="1030"/>
      <c r="D216" s="1029"/>
      <c r="E216" s="1032"/>
      <c r="F216" s="1032"/>
      <c r="G216" s="1020"/>
      <c r="H216" s="1659"/>
      <c r="I216" s="1659"/>
      <c r="J216" s="1077" t="str">
        <f t="shared" si="11"/>
        <v/>
      </c>
      <c r="K216" s="1659"/>
      <c r="L216" s="1659"/>
      <c r="M216" s="1078" t="str">
        <f t="shared" si="12"/>
        <v/>
      </c>
      <c r="N216" s="1659"/>
      <c r="O216" s="1659"/>
      <c r="P216" s="1078" t="str">
        <f t="shared" si="13"/>
        <v/>
      </c>
      <c r="Q216" s="1659"/>
      <c r="R216" s="1659"/>
      <c r="S216" s="1078" t="str">
        <f t="shared" si="14"/>
        <v/>
      </c>
      <c r="T216" s="1661"/>
      <c r="U216" s="1659"/>
      <c r="V216" s="1078" t="str">
        <f t="shared" si="15"/>
        <v/>
      </c>
      <c r="W216" s="1016"/>
      <c r="X216" s="1016"/>
      <c r="Y216" s="1016"/>
      <c r="Z216" s="1016"/>
      <c r="AA216" s="1016"/>
      <c r="AB216" s="1016"/>
      <c r="AC216" s="1016"/>
      <c r="AD216" s="1016"/>
      <c r="AE216" s="1016"/>
      <c r="AF216" s="1016"/>
      <c r="AG216" s="1016"/>
      <c r="AH216" s="1016"/>
      <c r="AI216" s="1016"/>
      <c r="AJ216" s="1016"/>
      <c r="AK216" s="1016"/>
      <c r="AL216" s="1016"/>
      <c r="AM216" s="1016"/>
      <c r="AN216" s="1016"/>
      <c r="AO216" s="1016"/>
      <c r="AP216" s="1016"/>
      <c r="AQ216" s="1016"/>
      <c r="AR216" s="1016"/>
      <c r="AS216" s="1016"/>
      <c r="AT216" s="1016"/>
      <c r="AU216" s="1016"/>
      <c r="AV216" s="1016"/>
      <c r="AW216" s="1016"/>
    </row>
    <row r="217" spans="2:49" x14ac:dyDescent="0.2">
      <c r="B217" s="1029"/>
      <c r="C217" s="1030"/>
      <c r="D217" s="1029"/>
      <c r="E217" s="1032"/>
      <c r="F217" s="1032"/>
      <c r="G217" s="1020"/>
      <c r="H217" s="1659"/>
      <c r="I217" s="1659"/>
      <c r="J217" s="1077" t="str">
        <f t="shared" si="11"/>
        <v/>
      </c>
      <c r="K217" s="1659"/>
      <c r="L217" s="1659"/>
      <c r="M217" s="1078" t="str">
        <f t="shared" si="12"/>
        <v/>
      </c>
      <c r="N217" s="1659"/>
      <c r="O217" s="1659"/>
      <c r="P217" s="1078" t="str">
        <f t="shared" si="13"/>
        <v/>
      </c>
      <c r="Q217" s="1659"/>
      <c r="R217" s="1659"/>
      <c r="S217" s="1078" t="str">
        <f t="shared" si="14"/>
        <v/>
      </c>
      <c r="T217" s="1661"/>
      <c r="U217" s="1659"/>
      <c r="V217" s="1078" t="str">
        <f t="shared" si="15"/>
        <v/>
      </c>
      <c r="W217" s="1016"/>
      <c r="X217" s="1016"/>
      <c r="Y217" s="1016"/>
      <c r="Z217" s="1016"/>
      <c r="AA217" s="1016"/>
      <c r="AB217" s="1016"/>
      <c r="AC217" s="1016"/>
      <c r="AD217" s="1016"/>
      <c r="AE217" s="1016"/>
      <c r="AF217" s="1016"/>
      <c r="AG217" s="1016"/>
      <c r="AH217" s="1016"/>
      <c r="AI217" s="1016"/>
      <c r="AJ217" s="1016"/>
      <c r="AK217" s="1016"/>
      <c r="AL217" s="1016"/>
      <c r="AM217" s="1016"/>
      <c r="AN217" s="1016"/>
      <c r="AO217" s="1016"/>
      <c r="AP217" s="1016"/>
      <c r="AQ217" s="1016"/>
      <c r="AR217" s="1016"/>
      <c r="AS217" s="1016"/>
      <c r="AT217" s="1016"/>
      <c r="AU217" s="1016"/>
      <c r="AV217" s="1016"/>
      <c r="AW217" s="1016"/>
    </row>
    <row r="218" spans="2:49" x14ac:dyDescent="0.2">
      <c r="B218" s="1029"/>
      <c r="C218" s="1030"/>
      <c r="D218" s="1029"/>
      <c r="E218" s="1032"/>
      <c r="F218" s="1032"/>
      <c r="G218" s="1020"/>
      <c r="H218" s="1659"/>
      <c r="I218" s="1659"/>
      <c r="J218" s="1077" t="str">
        <f t="shared" ref="J218:J281" si="16">IF(AND(H218=0,I218=0),"",IF(I218&lt;&gt;0,IF(I218&gt;H218,100,I218/H218*100),0))</f>
        <v/>
      </c>
      <c r="K218" s="1659"/>
      <c r="L218" s="1659"/>
      <c r="M218" s="1078" t="str">
        <f t="shared" ref="M218:M281" si="17">IF(AND(K218=0,L218=0),"",IF(L218&lt;&gt;0,IF(L218&gt;K218,100,L218/K218*100),0))</f>
        <v/>
      </c>
      <c r="N218" s="1659"/>
      <c r="O218" s="1659"/>
      <c r="P218" s="1078" t="str">
        <f t="shared" ref="P218:P281" si="18">IF(AND(N218=0,O218=0),"",IF(O218&lt;&gt;0,IF(O218&gt;N218,100,O218/N218*100),0))</f>
        <v/>
      </c>
      <c r="Q218" s="1659"/>
      <c r="R218" s="1659"/>
      <c r="S218" s="1078" t="str">
        <f t="shared" ref="S218:S281" si="19">IF(AND(Q218=0,R218=0),"",IF(R218&lt;&gt;0,IF(R218&lt;=Q218,100,100-(R218-Q218)),0))</f>
        <v/>
      </c>
      <c r="T218" s="1661"/>
      <c r="U218" s="1659"/>
      <c r="V218" s="1078" t="str">
        <f t="shared" ref="V218:V281" si="20">IF(AND(T218=0,U218=0),"",IF(U218&lt;&gt;0,IF(U218&gt;T218,100,U218/T218*100),0))</f>
        <v/>
      </c>
      <c r="W218" s="1016"/>
      <c r="X218" s="1016"/>
      <c r="Y218" s="1016"/>
      <c r="Z218" s="1016"/>
      <c r="AA218" s="1016"/>
      <c r="AB218" s="1016"/>
      <c r="AC218" s="1016"/>
      <c r="AD218" s="1016"/>
      <c r="AE218" s="1016"/>
      <c r="AF218" s="1016"/>
      <c r="AG218" s="1016"/>
      <c r="AH218" s="1016"/>
      <c r="AI218" s="1016"/>
      <c r="AJ218" s="1016"/>
      <c r="AK218" s="1016"/>
      <c r="AL218" s="1016"/>
      <c r="AM218" s="1016"/>
      <c r="AN218" s="1016"/>
      <c r="AO218" s="1016"/>
      <c r="AP218" s="1016"/>
      <c r="AQ218" s="1016"/>
      <c r="AR218" s="1016"/>
      <c r="AS218" s="1016"/>
      <c r="AT218" s="1016"/>
      <c r="AU218" s="1016"/>
      <c r="AV218" s="1016"/>
      <c r="AW218" s="1016"/>
    </row>
    <row r="219" spans="2:49" x14ac:dyDescent="0.2">
      <c r="B219" s="1029"/>
      <c r="C219" s="1030"/>
      <c r="D219" s="1029"/>
      <c r="E219" s="1032"/>
      <c r="F219" s="1032"/>
      <c r="G219" s="1020"/>
      <c r="H219" s="1659"/>
      <c r="I219" s="1659"/>
      <c r="J219" s="1077" t="str">
        <f t="shared" si="16"/>
        <v/>
      </c>
      <c r="K219" s="1659"/>
      <c r="L219" s="1659"/>
      <c r="M219" s="1078" t="str">
        <f t="shared" si="17"/>
        <v/>
      </c>
      <c r="N219" s="1659"/>
      <c r="O219" s="1659"/>
      <c r="P219" s="1078" t="str">
        <f t="shared" si="18"/>
        <v/>
      </c>
      <c r="Q219" s="1659"/>
      <c r="R219" s="1659"/>
      <c r="S219" s="1078" t="str">
        <f t="shared" si="19"/>
        <v/>
      </c>
      <c r="T219" s="1661"/>
      <c r="U219" s="1659"/>
      <c r="V219" s="1078" t="str">
        <f t="shared" si="20"/>
        <v/>
      </c>
      <c r="W219" s="1016"/>
      <c r="X219" s="1016"/>
      <c r="Y219" s="1016"/>
      <c r="Z219" s="1016"/>
      <c r="AA219" s="1016"/>
      <c r="AB219" s="1016"/>
      <c r="AC219" s="1016"/>
      <c r="AD219" s="1016"/>
      <c r="AE219" s="1016"/>
      <c r="AF219" s="1016"/>
      <c r="AG219" s="1016"/>
      <c r="AH219" s="1016"/>
      <c r="AI219" s="1016"/>
      <c r="AJ219" s="1016"/>
      <c r="AK219" s="1016"/>
      <c r="AL219" s="1016"/>
      <c r="AM219" s="1016"/>
      <c r="AN219" s="1016"/>
      <c r="AO219" s="1016"/>
      <c r="AP219" s="1016"/>
      <c r="AQ219" s="1016"/>
      <c r="AR219" s="1016"/>
      <c r="AS219" s="1016"/>
      <c r="AT219" s="1016"/>
      <c r="AU219" s="1016"/>
      <c r="AV219" s="1016"/>
      <c r="AW219" s="1016"/>
    </row>
    <row r="220" spans="2:49" x14ac:dyDescent="0.2">
      <c r="B220" s="1029"/>
      <c r="C220" s="1030"/>
      <c r="D220" s="1029"/>
      <c r="E220" s="1032"/>
      <c r="F220" s="1032"/>
      <c r="G220" s="1020"/>
      <c r="H220" s="1659"/>
      <c r="I220" s="1659"/>
      <c r="J220" s="1077" t="str">
        <f t="shared" si="16"/>
        <v/>
      </c>
      <c r="K220" s="1659"/>
      <c r="L220" s="1659"/>
      <c r="M220" s="1078" t="str">
        <f t="shared" si="17"/>
        <v/>
      </c>
      <c r="N220" s="1659"/>
      <c r="O220" s="1659"/>
      <c r="P220" s="1078" t="str">
        <f t="shared" si="18"/>
        <v/>
      </c>
      <c r="Q220" s="1659"/>
      <c r="R220" s="1659"/>
      <c r="S220" s="1078" t="str">
        <f t="shared" si="19"/>
        <v/>
      </c>
      <c r="T220" s="1661"/>
      <c r="U220" s="1659"/>
      <c r="V220" s="1078" t="str">
        <f t="shared" si="20"/>
        <v/>
      </c>
      <c r="W220" s="1016"/>
      <c r="X220" s="1016"/>
      <c r="Y220" s="1016"/>
      <c r="Z220" s="1016"/>
      <c r="AA220" s="1016"/>
      <c r="AB220" s="1016"/>
      <c r="AC220" s="1016"/>
      <c r="AD220" s="1016"/>
      <c r="AE220" s="1016"/>
      <c r="AF220" s="1016"/>
      <c r="AG220" s="1016"/>
      <c r="AH220" s="1016"/>
      <c r="AI220" s="1016"/>
      <c r="AJ220" s="1016"/>
      <c r="AK220" s="1016"/>
      <c r="AL220" s="1016"/>
      <c r="AM220" s="1016"/>
      <c r="AN220" s="1016"/>
      <c r="AO220" s="1016"/>
      <c r="AP220" s="1016"/>
      <c r="AQ220" s="1016"/>
      <c r="AR220" s="1016"/>
      <c r="AS220" s="1016"/>
      <c r="AT220" s="1016"/>
      <c r="AU220" s="1016"/>
      <c r="AV220" s="1016"/>
      <c r="AW220" s="1016"/>
    </row>
    <row r="221" spans="2:49" x14ac:dyDescent="0.2">
      <c r="B221" s="1029"/>
      <c r="C221" s="1030"/>
      <c r="D221" s="1029"/>
      <c r="E221" s="1032"/>
      <c r="F221" s="1032"/>
      <c r="G221" s="1020"/>
      <c r="H221" s="1659"/>
      <c r="I221" s="1659"/>
      <c r="J221" s="1077" t="str">
        <f t="shared" si="16"/>
        <v/>
      </c>
      <c r="K221" s="1659"/>
      <c r="L221" s="1659"/>
      <c r="M221" s="1078" t="str">
        <f t="shared" si="17"/>
        <v/>
      </c>
      <c r="N221" s="1659"/>
      <c r="O221" s="1659"/>
      <c r="P221" s="1078" t="str">
        <f t="shared" si="18"/>
        <v/>
      </c>
      <c r="Q221" s="1659"/>
      <c r="R221" s="1659"/>
      <c r="S221" s="1078" t="str">
        <f t="shared" si="19"/>
        <v/>
      </c>
      <c r="T221" s="1661"/>
      <c r="U221" s="1659"/>
      <c r="V221" s="1078" t="str">
        <f t="shared" si="20"/>
        <v/>
      </c>
      <c r="W221" s="1016"/>
      <c r="X221" s="1016"/>
      <c r="Y221" s="1016"/>
      <c r="Z221" s="1016"/>
      <c r="AA221" s="1016"/>
      <c r="AB221" s="1016"/>
      <c r="AC221" s="1016"/>
      <c r="AD221" s="1016"/>
      <c r="AE221" s="1016"/>
      <c r="AF221" s="1016"/>
      <c r="AG221" s="1016"/>
      <c r="AH221" s="1016"/>
      <c r="AI221" s="1016"/>
      <c r="AJ221" s="1016"/>
      <c r="AK221" s="1016"/>
      <c r="AL221" s="1016"/>
      <c r="AM221" s="1016"/>
      <c r="AN221" s="1016"/>
      <c r="AO221" s="1016"/>
      <c r="AP221" s="1016"/>
      <c r="AQ221" s="1016"/>
      <c r="AR221" s="1016"/>
      <c r="AS221" s="1016"/>
      <c r="AT221" s="1016"/>
      <c r="AU221" s="1016"/>
      <c r="AV221" s="1016"/>
      <c r="AW221" s="1016"/>
    </row>
    <row r="222" spans="2:49" x14ac:dyDescent="0.2">
      <c r="B222" s="1029"/>
      <c r="C222" s="1030"/>
      <c r="D222" s="1029"/>
      <c r="E222" s="1032"/>
      <c r="F222" s="1032"/>
      <c r="G222" s="1020"/>
      <c r="H222" s="1659"/>
      <c r="I222" s="1659"/>
      <c r="J222" s="1077" t="str">
        <f t="shared" si="16"/>
        <v/>
      </c>
      <c r="K222" s="1659"/>
      <c r="L222" s="1659"/>
      <c r="M222" s="1078" t="str">
        <f t="shared" si="17"/>
        <v/>
      </c>
      <c r="N222" s="1659"/>
      <c r="O222" s="1659"/>
      <c r="P222" s="1078" t="str">
        <f t="shared" si="18"/>
        <v/>
      </c>
      <c r="Q222" s="1659"/>
      <c r="R222" s="1659"/>
      <c r="S222" s="1078" t="str">
        <f t="shared" si="19"/>
        <v/>
      </c>
      <c r="T222" s="1661"/>
      <c r="U222" s="1659"/>
      <c r="V222" s="1078" t="str">
        <f t="shared" si="20"/>
        <v/>
      </c>
      <c r="W222" s="1016"/>
      <c r="X222" s="1016"/>
      <c r="Y222" s="1016"/>
      <c r="Z222" s="1016"/>
      <c r="AA222" s="1016"/>
      <c r="AB222" s="1016"/>
      <c r="AC222" s="1016"/>
      <c r="AD222" s="1016"/>
      <c r="AE222" s="1016"/>
      <c r="AF222" s="1016"/>
      <c r="AG222" s="1016"/>
      <c r="AH222" s="1016"/>
      <c r="AI222" s="1016"/>
      <c r="AJ222" s="1016"/>
      <c r="AK222" s="1016"/>
      <c r="AL222" s="1016"/>
      <c r="AM222" s="1016"/>
      <c r="AN222" s="1016"/>
      <c r="AO222" s="1016"/>
      <c r="AP222" s="1016"/>
      <c r="AQ222" s="1016"/>
      <c r="AR222" s="1016"/>
      <c r="AS222" s="1016"/>
      <c r="AT222" s="1016"/>
      <c r="AU222" s="1016"/>
      <c r="AV222" s="1016"/>
      <c r="AW222" s="1016"/>
    </row>
    <row r="223" spans="2:49" x14ac:dyDescent="0.2">
      <c r="B223" s="1029"/>
      <c r="C223" s="1030"/>
      <c r="D223" s="1029"/>
      <c r="E223" s="1032"/>
      <c r="F223" s="1032"/>
      <c r="G223" s="1020"/>
      <c r="H223" s="1659"/>
      <c r="I223" s="1659"/>
      <c r="J223" s="1077" t="str">
        <f t="shared" si="16"/>
        <v/>
      </c>
      <c r="K223" s="1659"/>
      <c r="L223" s="1659"/>
      <c r="M223" s="1078" t="str">
        <f t="shared" si="17"/>
        <v/>
      </c>
      <c r="N223" s="1659"/>
      <c r="O223" s="1659"/>
      <c r="P223" s="1078" t="str">
        <f t="shared" si="18"/>
        <v/>
      </c>
      <c r="Q223" s="1659"/>
      <c r="R223" s="1659"/>
      <c r="S223" s="1078" t="str">
        <f t="shared" si="19"/>
        <v/>
      </c>
      <c r="T223" s="1661"/>
      <c r="U223" s="1659"/>
      <c r="V223" s="1078" t="str">
        <f t="shared" si="20"/>
        <v/>
      </c>
      <c r="W223" s="1016"/>
      <c r="X223" s="1016"/>
      <c r="Y223" s="1016"/>
      <c r="Z223" s="1016"/>
      <c r="AA223" s="1016"/>
      <c r="AB223" s="1016"/>
      <c r="AC223" s="1016"/>
      <c r="AD223" s="1016"/>
      <c r="AE223" s="1016"/>
      <c r="AF223" s="1016"/>
      <c r="AG223" s="1016"/>
      <c r="AH223" s="1016"/>
      <c r="AI223" s="1016"/>
      <c r="AJ223" s="1016"/>
      <c r="AK223" s="1016"/>
      <c r="AL223" s="1016"/>
      <c r="AM223" s="1016"/>
      <c r="AN223" s="1016"/>
      <c r="AO223" s="1016"/>
      <c r="AP223" s="1016"/>
      <c r="AQ223" s="1016"/>
      <c r="AR223" s="1016"/>
      <c r="AS223" s="1016"/>
      <c r="AT223" s="1016"/>
      <c r="AU223" s="1016"/>
      <c r="AV223" s="1016"/>
      <c r="AW223" s="1016"/>
    </row>
    <row r="224" spans="2:49" x14ac:dyDescent="0.2">
      <c r="B224" s="1029"/>
      <c r="C224" s="1030"/>
      <c r="D224" s="1029"/>
      <c r="E224" s="1032"/>
      <c r="F224" s="1032"/>
      <c r="G224" s="1020"/>
      <c r="H224" s="1659"/>
      <c r="I224" s="1659"/>
      <c r="J224" s="1077" t="str">
        <f t="shared" si="16"/>
        <v/>
      </c>
      <c r="K224" s="1659"/>
      <c r="L224" s="1659"/>
      <c r="M224" s="1078" t="str">
        <f t="shared" si="17"/>
        <v/>
      </c>
      <c r="N224" s="1659"/>
      <c r="O224" s="1659"/>
      <c r="P224" s="1078" t="str">
        <f t="shared" si="18"/>
        <v/>
      </c>
      <c r="Q224" s="1659"/>
      <c r="R224" s="1659"/>
      <c r="S224" s="1078" t="str">
        <f t="shared" si="19"/>
        <v/>
      </c>
      <c r="T224" s="1661"/>
      <c r="U224" s="1659"/>
      <c r="V224" s="1078" t="str">
        <f t="shared" si="20"/>
        <v/>
      </c>
      <c r="W224" s="1016"/>
      <c r="X224" s="1016"/>
      <c r="Y224" s="1016"/>
      <c r="Z224" s="1016"/>
      <c r="AA224" s="1016"/>
      <c r="AB224" s="1016"/>
      <c r="AC224" s="1016"/>
      <c r="AD224" s="1016"/>
      <c r="AE224" s="1016"/>
      <c r="AF224" s="1016"/>
      <c r="AG224" s="1016"/>
      <c r="AH224" s="1016"/>
      <c r="AI224" s="1016"/>
      <c r="AJ224" s="1016"/>
      <c r="AK224" s="1016"/>
      <c r="AL224" s="1016"/>
      <c r="AM224" s="1016"/>
      <c r="AN224" s="1016"/>
      <c r="AO224" s="1016"/>
      <c r="AP224" s="1016"/>
      <c r="AQ224" s="1016"/>
      <c r="AR224" s="1016"/>
      <c r="AS224" s="1016"/>
      <c r="AT224" s="1016"/>
      <c r="AU224" s="1016"/>
      <c r="AV224" s="1016"/>
      <c r="AW224" s="1016"/>
    </row>
    <row r="225" spans="2:49" x14ac:dyDescent="0.2">
      <c r="B225" s="1029"/>
      <c r="C225" s="1030"/>
      <c r="D225" s="1029"/>
      <c r="E225" s="1032"/>
      <c r="F225" s="1032"/>
      <c r="G225" s="1020"/>
      <c r="H225" s="1659"/>
      <c r="I225" s="1659"/>
      <c r="J225" s="1077" t="str">
        <f t="shared" si="16"/>
        <v/>
      </c>
      <c r="K225" s="1659"/>
      <c r="L225" s="1659"/>
      <c r="M225" s="1078" t="str">
        <f t="shared" si="17"/>
        <v/>
      </c>
      <c r="N225" s="1659"/>
      <c r="O225" s="1659"/>
      <c r="P225" s="1078" t="str">
        <f t="shared" si="18"/>
        <v/>
      </c>
      <c r="Q225" s="1659"/>
      <c r="R225" s="1659"/>
      <c r="S225" s="1078" t="str">
        <f t="shared" si="19"/>
        <v/>
      </c>
      <c r="T225" s="1661"/>
      <c r="U225" s="1659"/>
      <c r="V225" s="1078" t="str">
        <f t="shared" si="20"/>
        <v/>
      </c>
      <c r="W225" s="1016"/>
      <c r="X225" s="1016"/>
      <c r="Y225" s="1016"/>
      <c r="Z225" s="1016"/>
      <c r="AA225" s="1016"/>
      <c r="AB225" s="1016"/>
      <c r="AC225" s="1016"/>
      <c r="AD225" s="1016"/>
      <c r="AE225" s="1016"/>
      <c r="AF225" s="1016"/>
      <c r="AG225" s="1016"/>
      <c r="AH225" s="1016"/>
      <c r="AI225" s="1016"/>
      <c r="AJ225" s="1016"/>
      <c r="AK225" s="1016"/>
      <c r="AL225" s="1016"/>
      <c r="AM225" s="1016"/>
      <c r="AN225" s="1016"/>
      <c r="AO225" s="1016"/>
      <c r="AP225" s="1016"/>
      <c r="AQ225" s="1016"/>
      <c r="AR225" s="1016"/>
      <c r="AS225" s="1016"/>
      <c r="AT225" s="1016"/>
      <c r="AU225" s="1016"/>
      <c r="AV225" s="1016"/>
      <c r="AW225" s="1016"/>
    </row>
    <row r="226" spans="2:49" x14ac:dyDescent="0.2">
      <c r="B226" s="1029"/>
      <c r="C226" s="1030"/>
      <c r="D226" s="1029"/>
      <c r="E226" s="1032"/>
      <c r="F226" s="1032"/>
      <c r="G226" s="1020"/>
      <c r="H226" s="1659"/>
      <c r="I226" s="1659"/>
      <c r="J226" s="1077" t="str">
        <f t="shared" si="16"/>
        <v/>
      </c>
      <c r="K226" s="1659"/>
      <c r="L226" s="1659"/>
      <c r="M226" s="1078" t="str">
        <f t="shared" si="17"/>
        <v/>
      </c>
      <c r="N226" s="1659"/>
      <c r="O226" s="1659"/>
      <c r="P226" s="1078" t="str">
        <f t="shared" si="18"/>
        <v/>
      </c>
      <c r="Q226" s="1659"/>
      <c r="R226" s="1659"/>
      <c r="S226" s="1078" t="str">
        <f t="shared" si="19"/>
        <v/>
      </c>
      <c r="T226" s="1661"/>
      <c r="U226" s="1659"/>
      <c r="V226" s="1078" t="str">
        <f t="shared" si="20"/>
        <v/>
      </c>
      <c r="W226" s="1016"/>
      <c r="X226" s="1016"/>
      <c r="Y226" s="1016"/>
      <c r="Z226" s="1016"/>
      <c r="AA226" s="1016"/>
      <c r="AB226" s="1016"/>
      <c r="AC226" s="1016"/>
      <c r="AD226" s="1016"/>
      <c r="AE226" s="1016"/>
      <c r="AF226" s="1016"/>
      <c r="AG226" s="1016"/>
      <c r="AH226" s="1016"/>
      <c r="AI226" s="1016"/>
      <c r="AJ226" s="1016"/>
      <c r="AK226" s="1016"/>
      <c r="AL226" s="1016"/>
      <c r="AM226" s="1016"/>
      <c r="AN226" s="1016"/>
      <c r="AO226" s="1016"/>
      <c r="AP226" s="1016"/>
      <c r="AQ226" s="1016"/>
      <c r="AR226" s="1016"/>
      <c r="AS226" s="1016"/>
      <c r="AT226" s="1016"/>
      <c r="AU226" s="1016"/>
      <c r="AV226" s="1016"/>
      <c r="AW226" s="1016"/>
    </row>
    <row r="227" spans="2:49" x14ac:dyDescent="0.2">
      <c r="B227" s="1029"/>
      <c r="C227" s="1030"/>
      <c r="D227" s="1029"/>
      <c r="E227" s="1032"/>
      <c r="F227" s="1032"/>
      <c r="G227" s="1020"/>
      <c r="H227" s="1659"/>
      <c r="I227" s="1659"/>
      <c r="J227" s="1077" t="str">
        <f t="shared" si="16"/>
        <v/>
      </c>
      <c r="K227" s="1659"/>
      <c r="L227" s="1659"/>
      <c r="M227" s="1078" t="str">
        <f t="shared" si="17"/>
        <v/>
      </c>
      <c r="N227" s="1659"/>
      <c r="O227" s="1659"/>
      <c r="P227" s="1078" t="str">
        <f t="shared" si="18"/>
        <v/>
      </c>
      <c r="Q227" s="1659"/>
      <c r="R227" s="1659"/>
      <c r="S227" s="1078" t="str">
        <f t="shared" si="19"/>
        <v/>
      </c>
      <c r="T227" s="1661"/>
      <c r="U227" s="1659"/>
      <c r="V227" s="1078" t="str">
        <f t="shared" si="20"/>
        <v/>
      </c>
      <c r="W227" s="1016"/>
      <c r="X227" s="1016"/>
      <c r="Y227" s="1016"/>
      <c r="Z227" s="1016"/>
      <c r="AA227" s="1016"/>
      <c r="AB227" s="1016"/>
      <c r="AC227" s="1016"/>
      <c r="AD227" s="1016"/>
      <c r="AE227" s="1016"/>
      <c r="AF227" s="1016"/>
      <c r="AG227" s="1016"/>
      <c r="AH227" s="1016"/>
      <c r="AI227" s="1016"/>
      <c r="AJ227" s="1016"/>
      <c r="AK227" s="1016"/>
      <c r="AL227" s="1016"/>
      <c r="AM227" s="1016"/>
      <c r="AN227" s="1016"/>
      <c r="AO227" s="1016"/>
      <c r="AP227" s="1016"/>
      <c r="AQ227" s="1016"/>
      <c r="AR227" s="1016"/>
      <c r="AS227" s="1016"/>
      <c r="AT227" s="1016"/>
      <c r="AU227" s="1016"/>
      <c r="AV227" s="1016"/>
      <c r="AW227" s="1016"/>
    </row>
    <row r="228" spans="2:49" x14ac:dyDescent="0.2">
      <c r="B228" s="1029"/>
      <c r="C228" s="1030"/>
      <c r="D228" s="1029"/>
      <c r="E228" s="1032"/>
      <c r="F228" s="1032"/>
      <c r="G228" s="1020"/>
      <c r="H228" s="1659"/>
      <c r="I228" s="1659"/>
      <c r="J228" s="1077" t="str">
        <f t="shared" si="16"/>
        <v/>
      </c>
      <c r="K228" s="1659"/>
      <c r="L228" s="1659"/>
      <c r="M228" s="1078" t="str">
        <f t="shared" si="17"/>
        <v/>
      </c>
      <c r="N228" s="1659"/>
      <c r="O228" s="1659"/>
      <c r="P228" s="1078" t="str">
        <f t="shared" si="18"/>
        <v/>
      </c>
      <c r="Q228" s="1659"/>
      <c r="R228" s="1659"/>
      <c r="S228" s="1078" t="str">
        <f t="shared" si="19"/>
        <v/>
      </c>
      <c r="T228" s="1661"/>
      <c r="U228" s="1659"/>
      <c r="V228" s="1078" t="str">
        <f t="shared" si="20"/>
        <v/>
      </c>
      <c r="W228" s="1016"/>
      <c r="X228" s="1016"/>
      <c r="Y228" s="1016"/>
      <c r="Z228" s="1016"/>
      <c r="AA228" s="1016"/>
      <c r="AB228" s="1016"/>
      <c r="AC228" s="1016"/>
      <c r="AD228" s="1016"/>
      <c r="AE228" s="1016"/>
      <c r="AF228" s="1016"/>
      <c r="AG228" s="1016"/>
      <c r="AH228" s="1016"/>
      <c r="AI228" s="1016"/>
      <c r="AJ228" s="1016"/>
      <c r="AK228" s="1016"/>
      <c r="AL228" s="1016"/>
      <c r="AM228" s="1016"/>
      <c r="AN228" s="1016"/>
      <c r="AO228" s="1016"/>
      <c r="AP228" s="1016"/>
      <c r="AQ228" s="1016"/>
      <c r="AR228" s="1016"/>
      <c r="AS228" s="1016"/>
      <c r="AT228" s="1016"/>
      <c r="AU228" s="1016"/>
      <c r="AV228" s="1016"/>
      <c r="AW228" s="1016"/>
    </row>
    <row r="229" spans="2:49" x14ac:dyDescent="0.2">
      <c r="B229" s="1029"/>
      <c r="C229" s="1030"/>
      <c r="D229" s="1029"/>
      <c r="E229" s="1032"/>
      <c r="F229" s="1032"/>
      <c r="G229" s="1020"/>
      <c r="H229" s="1659"/>
      <c r="I229" s="1659"/>
      <c r="J229" s="1077" t="str">
        <f t="shared" si="16"/>
        <v/>
      </c>
      <c r="K229" s="1659"/>
      <c r="L229" s="1659"/>
      <c r="M229" s="1078" t="str">
        <f t="shared" si="17"/>
        <v/>
      </c>
      <c r="N229" s="1659"/>
      <c r="O229" s="1659"/>
      <c r="P229" s="1078" t="str">
        <f t="shared" si="18"/>
        <v/>
      </c>
      <c r="Q229" s="1659"/>
      <c r="R229" s="1659"/>
      <c r="S229" s="1078" t="str">
        <f t="shared" si="19"/>
        <v/>
      </c>
      <c r="T229" s="1661"/>
      <c r="U229" s="1659"/>
      <c r="V229" s="1078" t="str">
        <f t="shared" si="20"/>
        <v/>
      </c>
      <c r="W229" s="1016"/>
      <c r="X229" s="1016"/>
      <c r="Y229" s="1016"/>
      <c r="Z229" s="1016"/>
      <c r="AA229" s="1016"/>
      <c r="AB229" s="1016"/>
      <c r="AC229" s="1016"/>
      <c r="AD229" s="1016"/>
      <c r="AE229" s="1016"/>
      <c r="AF229" s="1016"/>
      <c r="AG229" s="1016"/>
      <c r="AH229" s="1016"/>
      <c r="AI229" s="1016"/>
      <c r="AJ229" s="1016"/>
      <c r="AK229" s="1016"/>
      <c r="AL229" s="1016"/>
      <c r="AM229" s="1016"/>
      <c r="AN229" s="1016"/>
      <c r="AO229" s="1016"/>
      <c r="AP229" s="1016"/>
      <c r="AQ229" s="1016"/>
      <c r="AR229" s="1016"/>
      <c r="AS229" s="1016"/>
      <c r="AT229" s="1016"/>
      <c r="AU229" s="1016"/>
      <c r="AV229" s="1016"/>
      <c r="AW229" s="1016"/>
    </row>
    <row r="230" spans="2:49" x14ac:dyDescent="0.2">
      <c r="B230" s="1029"/>
      <c r="C230" s="1030"/>
      <c r="D230" s="1029"/>
      <c r="E230" s="1032"/>
      <c r="F230" s="1032"/>
      <c r="G230" s="1020"/>
      <c r="H230" s="1659"/>
      <c r="I230" s="1659"/>
      <c r="J230" s="1077" t="str">
        <f t="shared" si="16"/>
        <v/>
      </c>
      <c r="K230" s="1659"/>
      <c r="L230" s="1659"/>
      <c r="M230" s="1078" t="str">
        <f t="shared" si="17"/>
        <v/>
      </c>
      <c r="N230" s="1659"/>
      <c r="O230" s="1659"/>
      <c r="P230" s="1078" t="str">
        <f t="shared" si="18"/>
        <v/>
      </c>
      <c r="Q230" s="1659"/>
      <c r="R230" s="1659"/>
      <c r="S230" s="1078" t="str">
        <f t="shared" si="19"/>
        <v/>
      </c>
      <c r="T230" s="1661"/>
      <c r="U230" s="1659"/>
      <c r="V230" s="1078" t="str">
        <f t="shared" si="20"/>
        <v/>
      </c>
      <c r="W230" s="1016"/>
      <c r="X230" s="1016"/>
      <c r="Y230" s="1016"/>
      <c r="Z230" s="1016"/>
      <c r="AA230" s="1016"/>
      <c r="AB230" s="1016"/>
      <c r="AC230" s="1016"/>
      <c r="AD230" s="1016"/>
      <c r="AE230" s="1016"/>
      <c r="AF230" s="1016"/>
      <c r="AG230" s="1016"/>
      <c r="AH230" s="1016"/>
      <c r="AI230" s="1016"/>
      <c r="AJ230" s="1016"/>
      <c r="AK230" s="1016"/>
      <c r="AL230" s="1016"/>
      <c r="AM230" s="1016"/>
      <c r="AN230" s="1016"/>
      <c r="AO230" s="1016"/>
      <c r="AP230" s="1016"/>
      <c r="AQ230" s="1016"/>
      <c r="AR230" s="1016"/>
      <c r="AS230" s="1016"/>
      <c r="AT230" s="1016"/>
      <c r="AU230" s="1016"/>
      <c r="AV230" s="1016"/>
      <c r="AW230" s="1016"/>
    </row>
    <row r="231" spans="2:49" x14ac:dyDescent="0.2">
      <c r="B231" s="1029"/>
      <c r="C231" s="1030"/>
      <c r="D231" s="1029"/>
      <c r="E231" s="1032"/>
      <c r="F231" s="1032"/>
      <c r="G231" s="1020"/>
      <c r="H231" s="1659"/>
      <c r="I231" s="1659"/>
      <c r="J231" s="1077" t="str">
        <f t="shared" si="16"/>
        <v/>
      </c>
      <c r="K231" s="1659"/>
      <c r="L231" s="1659"/>
      <c r="M231" s="1078" t="str">
        <f t="shared" si="17"/>
        <v/>
      </c>
      <c r="N231" s="1659"/>
      <c r="O231" s="1659"/>
      <c r="P231" s="1078" t="str">
        <f t="shared" si="18"/>
        <v/>
      </c>
      <c r="Q231" s="1659"/>
      <c r="R231" s="1659"/>
      <c r="S231" s="1078" t="str">
        <f t="shared" si="19"/>
        <v/>
      </c>
      <c r="T231" s="1661"/>
      <c r="U231" s="1659"/>
      <c r="V231" s="1078" t="str">
        <f t="shared" si="20"/>
        <v/>
      </c>
      <c r="W231" s="1016"/>
      <c r="X231" s="1016"/>
      <c r="Y231" s="1016"/>
      <c r="Z231" s="1016"/>
      <c r="AA231" s="1016"/>
      <c r="AB231" s="1016"/>
      <c r="AC231" s="1016"/>
      <c r="AD231" s="1016"/>
      <c r="AE231" s="1016"/>
      <c r="AF231" s="1016"/>
      <c r="AG231" s="1016"/>
      <c r="AH231" s="1016"/>
      <c r="AI231" s="1016"/>
      <c r="AJ231" s="1016"/>
      <c r="AK231" s="1016"/>
      <c r="AL231" s="1016"/>
      <c r="AM231" s="1016"/>
      <c r="AN231" s="1016"/>
      <c r="AO231" s="1016"/>
      <c r="AP231" s="1016"/>
      <c r="AQ231" s="1016"/>
      <c r="AR231" s="1016"/>
      <c r="AS231" s="1016"/>
      <c r="AT231" s="1016"/>
      <c r="AU231" s="1016"/>
      <c r="AV231" s="1016"/>
      <c r="AW231" s="1016"/>
    </row>
    <row r="232" spans="2:49" x14ac:dyDescent="0.2">
      <c r="B232" s="1029"/>
      <c r="C232" s="1030"/>
      <c r="D232" s="1029"/>
      <c r="E232" s="1032"/>
      <c r="F232" s="1032"/>
      <c r="G232" s="1020"/>
      <c r="H232" s="1659"/>
      <c r="I232" s="1659"/>
      <c r="J232" s="1077" t="str">
        <f t="shared" si="16"/>
        <v/>
      </c>
      <c r="K232" s="1659"/>
      <c r="L232" s="1659"/>
      <c r="M232" s="1078" t="str">
        <f t="shared" si="17"/>
        <v/>
      </c>
      <c r="N232" s="1659"/>
      <c r="O232" s="1659"/>
      <c r="P232" s="1078" t="str">
        <f t="shared" si="18"/>
        <v/>
      </c>
      <c r="Q232" s="1659"/>
      <c r="R232" s="1659"/>
      <c r="S232" s="1078" t="str">
        <f t="shared" si="19"/>
        <v/>
      </c>
      <c r="T232" s="1661"/>
      <c r="U232" s="1659"/>
      <c r="V232" s="1078" t="str">
        <f t="shared" si="20"/>
        <v/>
      </c>
      <c r="W232" s="1016"/>
      <c r="X232" s="1016"/>
      <c r="Y232" s="1016"/>
      <c r="Z232" s="1016"/>
      <c r="AA232" s="1016"/>
      <c r="AB232" s="1016"/>
      <c r="AC232" s="1016"/>
      <c r="AD232" s="1016"/>
      <c r="AE232" s="1016"/>
      <c r="AF232" s="1016"/>
      <c r="AG232" s="1016"/>
      <c r="AH232" s="1016"/>
      <c r="AI232" s="1016"/>
      <c r="AJ232" s="1016"/>
      <c r="AK232" s="1016"/>
      <c r="AL232" s="1016"/>
      <c r="AM232" s="1016"/>
      <c r="AN232" s="1016"/>
      <c r="AO232" s="1016"/>
      <c r="AP232" s="1016"/>
      <c r="AQ232" s="1016"/>
      <c r="AR232" s="1016"/>
      <c r="AS232" s="1016"/>
      <c r="AT232" s="1016"/>
      <c r="AU232" s="1016"/>
      <c r="AV232" s="1016"/>
      <c r="AW232" s="1016"/>
    </row>
    <row r="233" spans="2:49" x14ac:dyDescent="0.2">
      <c r="B233" s="1029"/>
      <c r="C233" s="1030"/>
      <c r="D233" s="1029"/>
      <c r="E233" s="1032"/>
      <c r="F233" s="1032"/>
      <c r="G233" s="1020"/>
      <c r="H233" s="1659"/>
      <c r="I233" s="1659"/>
      <c r="J233" s="1077" t="str">
        <f t="shared" si="16"/>
        <v/>
      </c>
      <c r="K233" s="1659"/>
      <c r="L233" s="1659"/>
      <c r="M233" s="1078" t="str">
        <f t="shared" si="17"/>
        <v/>
      </c>
      <c r="N233" s="1659"/>
      <c r="O233" s="1659"/>
      <c r="P233" s="1078" t="str">
        <f t="shared" si="18"/>
        <v/>
      </c>
      <c r="Q233" s="1659"/>
      <c r="R233" s="1659"/>
      <c r="S233" s="1078" t="str">
        <f t="shared" si="19"/>
        <v/>
      </c>
      <c r="T233" s="1661"/>
      <c r="U233" s="1659"/>
      <c r="V233" s="1078" t="str">
        <f t="shared" si="20"/>
        <v/>
      </c>
      <c r="W233" s="1016"/>
      <c r="X233" s="1016"/>
      <c r="Y233" s="1016"/>
      <c r="Z233" s="1016"/>
      <c r="AA233" s="1016"/>
      <c r="AB233" s="1016"/>
      <c r="AC233" s="1016"/>
      <c r="AD233" s="1016"/>
      <c r="AE233" s="1016"/>
      <c r="AF233" s="1016"/>
      <c r="AG233" s="1016"/>
      <c r="AH233" s="1016"/>
      <c r="AI233" s="1016"/>
      <c r="AJ233" s="1016"/>
      <c r="AK233" s="1016"/>
      <c r="AL233" s="1016"/>
      <c r="AM233" s="1016"/>
      <c r="AN233" s="1016"/>
      <c r="AO233" s="1016"/>
      <c r="AP233" s="1016"/>
      <c r="AQ233" s="1016"/>
      <c r="AR233" s="1016"/>
      <c r="AS233" s="1016"/>
      <c r="AT233" s="1016"/>
      <c r="AU233" s="1016"/>
      <c r="AV233" s="1016"/>
      <c r="AW233" s="1016"/>
    </row>
    <row r="234" spans="2:49" x14ac:dyDescent="0.2">
      <c r="B234" s="1029"/>
      <c r="C234" s="1030"/>
      <c r="D234" s="1029"/>
      <c r="E234" s="1032"/>
      <c r="F234" s="1032"/>
      <c r="G234" s="1020"/>
      <c r="H234" s="1659"/>
      <c r="I234" s="1659"/>
      <c r="J234" s="1077" t="str">
        <f t="shared" si="16"/>
        <v/>
      </c>
      <c r="K234" s="1659"/>
      <c r="L234" s="1659"/>
      <c r="M234" s="1078" t="str">
        <f t="shared" si="17"/>
        <v/>
      </c>
      <c r="N234" s="1659"/>
      <c r="O234" s="1659"/>
      <c r="P234" s="1078" t="str">
        <f t="shared" si="18"/>
        <v/>
      </c>
      <c r="Q234" s="1659"/>
      <c r="R234" s="1659"/>
      <c r="S234" s="1078" t="str">
        <f t="shared" si="19"/>
        <v/>
      </c>
      <c r="T234" s="1661"/>
      <c r="U234" s="1659"/>
      <c r="V234" s="1078" t="str">
        <f t="shared" si="20"/>
        <v/>
      </c>
      <c r="W234" s="1016"/>
      <c r="X234" s="1016"/>
      <c r="Y234" s="1016"/>
      <c r="Z234" s="1016"/>
      <c r="AA234" s="1016"/>
      <c r="AB234" s="1016"/>
      <c r="AC234" s="1016"/>
      <c r="AD234" s="1016"/>
      <c r="AE234" s="1016"/>
      <c r="AF234" s="1016"/>
      <c r="AG234" s="1016"/>
      <c r="AH234" s="1016"/>
      <c r="AI234" s="1016"/>
      <c r="AJ234" s="1016"/>
      <c r="AK234" s="1016"/>
      <c r="AL234" s="1016"/>
      <c r="AM234" s="1016"/>
      <c r="AN234" s="1016"/>
      <c r="AO234" s="1016"/>
      <c r="AP234" s="1016"/>
      <c r="AQ234" s="1016"/>
      <c r="AR234" s="1016"/>
      <c r="AS234" s="1016"/>
      <c r="AT234" s="1016"/>
      <c r="AU234" s="1016"/>
      <c r="AV234" s="1016"/>
      <c r="AW234" s="1016"/>
    </row>
    <row r="235" spans="2:49" x14ac:dyDescent="0.2">
      <c r="B235" s="1029"/>
      <c r="C235" s="1030"/>
      <c r="D235" s="1029"/>
      <c r="E235" s="1032"/>
      <c r="F235" s="1032"/>
      <c r="G235" s="1020"/>
      <c r="H235" s="1659"/>
      <c r="I235" s="1659"/>
      <c r="J235" s="1077" t="str">
        <f t="shared" si="16"/>
        <v/>
      </c>
      <c r="K235" s="1659"/>
      <c r="L235" s="1659"/>
      <c r="M235" s="1078" t="str">
        <f t="shared" si="17"/>
        <v/>
      </c>
      <c r="N235" s="1659"/>
      <c r="O235" s="1659"/>
      <c r="P235" s="1078" t="str">
        <f t="shared" si="18"/>
        <v/>
      </c>
      <c r="Q235" s="1659"/>
      <c r="R235" s="1659"/>
      <c r="S235" s="1078" t="str">
        <f t="shared" si="19"/>
        <v/>
      </c>
      <c r="T235" s="1661"/>
      <c r="U235" s="1659"/>
      <c r="V235" s="1078" t="str">
        <f t="shared" si="20"/>
        <v/>
      </c>
      <c r="W235" s="1016"/>
      <c r="X235" s="1016"/>
      <c r="Y235" s="1016"/>
      <c r="Z235" s="1016"/>
      <c r="AA235" s="1016"/>
      <c r="AB235" s="1016"/>
      <c r="AC235" s="1016"/>
      <c r="AD235" s="1016"/>
      <c r="AE235" s="1016"/>
      <c r="AF235" s="1016"/>
      <c r="AG235" s="1016"/>
      <c r="AH235" s="1016"/>
      <c r="AI235" s="1016"/>
      <c r="AJ235" s="1016"/>
      <c r="AK235" s="1016"/>
      <c r="AL235" s="1016"/>
      <c r="AM235" s="1016"/>
      <c r="AN235" s="1016"/>
      <c r="AO235" s="1016"/>
      <c r="AP235" s="1016"/>
      <c r="AQ235" s="1016"/>
      <c r="AR235" s="1016"/>
      <c r="AS235" s="1016"/>
      <c r="AT235" s="1016"/>
      <c r="AU235" s="1016"/>
      <c r="AV235" s="1016"/>
      <c r="AW235" s="1016"/>
    </row>
    <row r="236" spans="2:49" x14ac:dyDescent="0.2">
      <c r="B236" s="1029"/>
      <c r="C236" s="1030"/>
      <c r="D236" s="1029"/>
      <c r="E236" s="1032"/>
      <c r="F236" s="1032"/>
      <c r="G236" s="1020"/>
      <c r="H236" s="1659"/>
      <c r="I236" s="1659"/>
      <c r="J236" s="1077" t="str">
        <f t="shared" si="16"/>
        <v/>
      </c>
      <c r="K236" s="1659"/>
      <c r="L236" s="1659"/>
      <c r="M236" s="1078" t="str">
        <f t="shared" si="17"/>
        <v/>
      </c>
      <c r="N236" s="1659"/>
      <c r="O236" s="1659"/>
      <c r="P236" s="1078" t="str">
        <f t="shared" si="18"/>
        <v/>
      </c>
      <c r="Q236" s="1659"/>
      <c r="R236" s="1659"/>
      <c r="S236" s="1078" t="str">
        <f t="shared" si="19"/>
        <v/>
      </c>
      <c r="T236" s="1661"/>
      <c r="U236" s="1659"/>
      <c r="V236" s="1078" t="str">
        <f t="shared" si="20"/>
        <v/>
      </c>
      <c r="W236" s="1016"/>
      <c r="X236" s="1016"/>
      <c r="Y236" s="1016"/>
      <c r="Z236" s="1016"/>
      <c r="AA236" s="1016"/>
      <c r="AB236" s="1016"/>
      <c r="AC236" s="1016"/>
      <c r="AD236" s="1016"/>
      <c r="AE236" s="1016"/>
      <c r="AF236" s="1016"/>
      <c r="AG236" s="1016"/>
      <c r="AH236" s="1016"/>
      <c r="AI236" s="1016"/>
      <c r="AJ236" s="1016"/>
      <c r="AK236" s="1016"/>
      <c r="AL236" s="1016"/>
      <c r="AM236" s="1016"/>
      <c r="AN236" s="1016"/>
      <c r="AO236" s="1016"/>
      <c r="AP236" s="1016"/>
      <c r="AQ236" s="1016"/>
      <c r="AR236" s="1016"/>
      <c r="AS236" s="1016"/>
      <c r="AT236" s="1016"/>
      <c r="AU236" s="1016"/>
      <c r="AV236" s="1016"/>
      <c r="AW236" s="1016"/>
    </row>
    <row r="237" spans="2:49" x14ac:dyDescent="0.2">
      <c r="B237" s="1029"/>
      <c r="C237" s="1030"/>
      <c r="D237" s="1029"/>
      <c r="E237" s="1032"/>
      <c r="F237" s="1032"/>
      <c r="G237" s="1020"/>
      <c r="H237" s="1659"/>
      <c r="I237" s="1659"/>
      <c r="J237" s="1077" t="str">
        <f t="shared" si="16"/>
        <v/>
      </c>
      <c r="K237" s="1659"/>
      <c r="L237" s="1659"/>
      <c r="M237" s="1078" t="str">
        <f t="shared" si="17"/>
        <v/>
      </c>
      <c r="N237" s="1659"/>
      <c r="O237" s="1659"/>
      <c r="P237" s="1078" t="str">
        <f t="shared" si="18"/>
        <v/>
      </c>
      <c r="Q237" s="1659"/>
      <c r="R237" s="1659"/>
      <c r="S237" s="1078" t="str">
        <f t="shared" si="19"/>
        <v/>
      </c>
      <c r="T237" s="1661"/>
      <c r="U237" s="1659"/>
      <c r="V237" s="1078" t="str">
        <f t="shared" si="20"/>
        <v/>
      </c>
      <c r="W237" s="1016"/>
      <c r="X237" s="1016"/>
      <c r="Y237" s="1016"/>
      <c r="Z237" s="1016"/>
      <c r="AA237" s="1016"/>
      <c r="AB237" s="1016"/>
      <c r="AC237" s="1016"/>
      <c r="AD237" s="1016"/>
      <c r="AE237" s="1016"/>
      <c r="AF237" s="1016"/>
      <c r="AG237" s="1016"/>
      <c r="AH237" s="1016"/>
      <c r="AI237" s="1016"/>
      <c r="AJ237" s="1016"/>
      <c r="AK237" s="1016"/>
      <c r="AL237" s="1016"/>
      <c r="AM237" s="1016"/>
      <c r="AN237" s="1016"/>
      <c r="AO237" s="1016"/>
      <c r="AP237" s="1016"/>
      <c r="AQ237" s="1016"/>
      <c r="AR237" s="1016"/>
      <c r="AS237" s="1016"/>
      <c r="AT237" s="1016"/>
      <c r="AU237" s="1016"/>
      <c r="AV237" s="1016"/>
      <c r="AW237" s="1016"/>
    </row>
    <row r="238" spans="2:49" x14ac:dyDescent="0.2">
      <c r="B238" s="1029"/>
      <c r="C238" s="1030"/>
      <c r="D238" s="1029"/>
      <c r="E238" s="1032"/>
      <c r="F238" s="1032"/>
      <c r="G238" s="1020"/>
      <c r="H238" s="1659"/>
      <c r="I238" s="1659"/>
      <c r="J238" s="1077" t="str">
        <f t="shared" si="16"/>
        <v/>
      </c>
      <c r="K238" s="1659"/>
      <c r="L238" s="1659"/>
      <c r="M238" s="1078" t="str">
        <f t="shared" si="17"/>
        <v/>
      </c>
      <c r="N238" s="1659"/>
      <c r="O238" s="1659"/>
      <c r="P238" s="1078" t="str">
        <f t="shared" si="18"/>
        <v/>
      </c>
      <c r="Q238" s="1659"/>
      <c r="R238" s="1659"/>
      <c r="S238" s="1078" t="str">
        <f t="shared" si="19"/>
        <v/>
      </c>
      <c r="T238" s="1661"/>
      <c r="U238" s="1659"/>
      <c r="V238" s="1078" t="str">
        <f t="shared" si="20"/>
        <v/>
      </c>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row>
    <row r="239" spans="2:49" x14ac:dyDescent="0.2">
      <c r="B239" s="1029"/>
      <c r="C239" s="1030"/>
      <c r="D239" s="1029"/>
      <c r="E239" s="1032"/>
      <c r="F239" s="1032"/>
      <c r="G239" s="1020"/>
      <c r="H239" s="1659"/>
      <c r="I239" s="1659"/>
      <c r="J239" s="1077" t="str">
        <f t="shared" si="16"/>
        <v/>
      </c>
      <c r="K239" s="1659"/>
      <c r="L239" s="1659"/>
      <c r="M239" s="1078" t="str">
        <f t="shared" si="17"/>
        <v/>
      </c>
      <c r="N239" s="1659"/>
      <c r="O239" s="1659"/>
      <c r="P239" s="1078" t="str">
        <f t="shared" si="18"/>
        <v/>
      </c>
      <c r="Q239" s="1659"/>
      <c r="R239" s="1659"/>
      <c r="S239" s="1078" t="str">
        <f t="shared" si="19"/>
        <v/>
      </c>
      <c r="T239" s="1661"/>
      <c r="U239" s="1659"/>
      <c r="V239" s="1078" t="str">
        <f t="shared" si="20"/>
        <v/>
      </c>
      <c r="W239" s="1016"/>
      <c r="X239" s="1016"/>
      <c r="Y239" s="1016"/>
      <c r="Z239" s="1016"/>
      <c r="AA239" s="1016"/>
      <c r="AB239" s="1016"/>
      <c r="AC239" s="1016"/>
      <c r="AD239" s="1016"/>
      <c r="AE239" s="1016"/>
      <c r="AF239" s="1016"/>
      <c r="AG239" s="1016"/>
      <c r="AH239" s="1016"/>
      <c r="AI239" s="1016"/>
      <c r="AJ239" s="1016"/>
      <c r="AK239" s="1016"/>
      <c r="AL239" s="1016"/>
      <c r="AM239" s="1016"/>
      <c r="AN239" s="1016"/>
      <c r="AO239" s="1016"/>
      <c r="AP239" s="1016"/>
      <c r="AQ239" s="1016"/>
      <c r="AR239" s="1016"/>
      <c r="AS239" s="1016"/>
      <c r="AT239" s="1016"/>
      <c r="AU239" s="1016"/>
      <c r="AV239" s="1016"/>
      <c r="AW239" s="1016"/>
    </row>
    <row r="240" spans="2:49" x14ac:dyDescent="0.2">
      <c r="B240" s="1029"/>
      <c r="C240" s="1030"/>
      <c r="D240" s="1029"/>
      <c r="E240" s="1032"/>
      <c r="F240" s="1032"/>
      <c r="G240" s="1020"/>
      <c r="H240" s="1659"/>
      <c r="I240" s="1659"/>
      <c r="J240" s="1077" t="str">
        <f t="shared" si="16"/>
        <v/>
      </c>
      <c r="K240" s="1659"/>
      <c r="L240" s="1659"/>
      <c r="M240" s="1078" t="str">
        <f t="shared" si="17"/>
        <v/>
      </c>
      <c r="N240" s="1659"/>
      <c r="O240" s="1659"/>
      <c r="P240" s="1078" t="str">
        <f t="shared" si="18"/>
        <v/>
      </c>
      <c r="Q240" s="1659"/>
      <c r="R240" s="1659"/>
      <c r="S240" s="1078" t="str">
        <f t="shared" si="19"/>
        <v/>
      </c>
      <c r="T240" s="1661"/>
      <c r="U240" s="1659"/>
      <c r="V240" s="1078" t="str">
        <f t="shared" si="20"/>
        <v/>
      </c>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row>
    <row r="241" spans="2:49" x14ac:dyDescent="0.2">
      <c r="B241" s="1029"/>
      <c r="C241" s="1030"/>
      <c r="D241" s="1029"/>
      <c r="E241" s="1032"/>
      <c r="F241" s="1032"/>
      <c r="G241" s="1020"/>
      <c r="H241" s="1659"/>
      <c r="I241" s="1659"/>
      <c r="J241" s="1077" t="str">
        <f t="shared" si="16"/>
        <v/>
      </c>
      <c r="K241" s="1659"/>
      <c r="L241" s="1659"/>
      <c r="M241" s="1078" t="str">
        <f t="shared" si="17"/>
        <v/>
      </c>
      <c r="N241" s="1659"/>
      <c r="O241" s="1659"/>
      <c r="P241" s="1078" t="str">
        <f t="shared" si="18"/>
        <v/>
      </c>
      <c r="Q241" s="1659"/>
      <c r="R241" s="1659"/>
      <c r="S241" s="1078" t="str">
        <f t="shared" si="19"/>
        <v/>
      </c>
      <c r="T241" s="1661"/>
      <c r="U241" s="1659"/>
      <c r="V241" s="1078" t="str">
        <f t="shared" si="20"/>
        <v/>
      </c>
      <c r="W241" s="1016"/>
      <c r="X241" s="1016"/>
      <c r="Y241" s="1016"/>
      <c r="Z241" s="1016"/>
      <c r="AA241" s="1016"/>
      <c r="AB241" s="1016"/>
      <c r="AC241" s="1016"/>
      <c r="AD241" s="1016"/>
      <c r="AE241" s="1016"/>
      <c r="AF241" s="1016"/>
      <c r="AG241" s="1016"/>
      <c r="AH241" s="1016"/>
      <c r="AI241" s="1016"/>
      <c r="AJ241" s="1016"/>
      <c r="AK241" s="1016"/>
      <c r="AL241" s="1016"/>
      <c r="AM241" s="1016"/>
      <c r="AN241" s="1016"/>
      <c r="AO241" s="1016"/>
      <c r="AP241" s="1016"/>
      <c r="AQ241" s="1016"/>
      <c r="AR241" s="1016"/>
      <c r="AS241" s="1016"/>
      <c r="AT241" s="1016"/>
      <c r="AU241" s="1016"/>
      <c r="AV241" s="1016"/>
      <c r="AW241" s="1016"/>
    </row>
    <row r="242" spans="2:49" x14ac:dyDescent="0.2">
      <c r="B242" s="1029"/>
      <c r="C242" s="1030"/>
      <c r="D242" s="1029"/>
      <c r="E242" s="1032"/>
      <c r="F242" s="1032"/>
      <c r="G242" s="1020"/>
      <c r="H242" s="1659"/>
      <c r="I242" s="1659"/>
      <c r="J242" s="1077" t="str">
        <f t="shared" si="16"/>
        <v/>
      </c>
      <c r="K242" s="1659"/>
      <c r="L242" s="1659"/>
      <c r="M242" s="1078" t="str">
        <f t="shared" si="17"/>
        <v/>
      </c>
      <c r="N242" s="1659"/>
      <c r="O242" s="1659"/>
      <c r="P242" s="1078" t="str">
        <f t="shared" si="18"/>
        <v/>
      </c>
      <c r="Q242" s="1659"/>
      <c r="R242" s="1659"/>
      <c r="S242" s="1078" t="str">
        <f t="shared" si="19"/>
        <v/>
      </c>
      <c r="T242" s="1661"/>
      <c r="U242" s="1659"/>
      <c r="V242" s="1078" t="str">
        <f t="shared" si="20"/>
        <v/>
      </c>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row>
    <row r="243" spans="2:49" x14ac:dyDescent="0.2">
      <c r="B243" s="1029"/>
      <c r="C243" s="1030"/>
      <c r="D243" s="1029"/>
      <c r="E243" s="1032"/>
      <c r="F243" s="1032"/>
      <c r="G243" s="1020"/>
      <c r="H243" s="1659"/>
      <c r="I243" s="1659"/>
      <c r="J243" s="1077" t="str">
        <f t="shared" si="16"/>
        <v/>
      </c>
      <c r="K243" s="1659"/>
      <c r="L243" s="1659"/>
      <c r="M243" s="1078" t="str">
        <f t="shared" si="17"/>
        <v/>
      </c>
      <c r="N243" s="1659"/>
      <c r="O243" s="1659"/>
      <c r="P243" s="1078" t="str">
        <f t="shared" si="18"/>
        <v/>
      </c>
      <c r="Q243" s="1659"/>
      <c r="R243" s="1659"/>
      <c r="S243" s="1078" t="str">
        <f t="shared" si="19"/>
        <v/>
      </c>
      <c r="T243" s="1661"/>
      <c r="U243" s="1659"/>
      <c r="V243" s="1078" t="str">
        <f t="shared" si="20"/>
        <v/>
      </c>
      <c r="W243" s="1016"/>
      <c r="X243" s="1016"/>
      <c r="Y243" s="1016"/>
      <c r="Z243" s="1016"/>
      <c r="AA243" s="1016"/>
      <c r="AB243" s="1016"/>
      <c r="AC243" s="1016"/>
      <c r="AD243" s="1016"/>
      <c r="AE243" s="1016"/>
      <c r="AF243" s="1016"/>
      <c r="AG243" s="1016"/>
      <c r="AH243" s="1016"/>
      <c r="AI243" s="1016"/>
      <c r="AJ243" s="1016"/>
      <c r="AK243" s="1016"/>
      <c r="AL243" s="1016"/>
      <c r="AM243" s="1016"/>
      <c r="AN243" s="1016"/>
      <c r="AO243" s="1016"/>
      <c r="AP243" s="1016"/>
      <c r="AQ243" s="1016"/>
      <c r="AR243" s="1016"/>
      <c r="AS243" s="1016"/>
      <c r="AT243" s="1016"/>
      <c r="AU243" s="1016"/>
      <c r="AV243" s="1016"/>
      <c r="AW243" s="1016"/>
    </row>
    <row r="244" spans="2:49" x14ac:dyDescent="0.2">
      <c r="B244" s="1029"/>
      <c r="C244" s="1030"/>
      <c r="D244" s="1029"/>
      <c r="E244" s="1032"/>
      <c r="F244" s="1032"/>
      <c r="G244" s="1020"/>
      <c r="H244" s="1659"/>
      <c r="I244" s="1659"/>
      <c r="J244" s="1077" t="str">
        <f t="shared" si="16"/>
        <v/>
      </c>
      <c r="K244" s="1659"/>
      <c r="L244" s="1659"/>
      <c r="M244" s="1078" t="str">
        <f t="shared" si="17"/>
        <v/>
      </c>
      <c r="N244" s="1659"/>
      <c r="O244" s="1659"/>
      <c r="P244" s="1078" t="str">
        <f t="shared" si="18"/>
        <v/>
      </c>
      <c r="Q244" s="1659"/>
      <c r="R244" s="1659"/>
      <c r="S244" s="1078" t="str">
        <f t="shared" si="19"/>
        <v/>
      </c>
      <c r="T244" s="1661"/>
      <c r="U244" s="1659"/>
      <c r="V244" s="1078" t="str">
        <f t="shared" si="20"/>
        <v/>
      </c>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row>
    <row r="245" spans="2:49" x14ac:dyDescent="0.2">
      <c r="B245" s="1029"/>
      <c r="C245" s="1030"/>
      <c r="D245" s="1029"/>
      <c r="E245" s="1032"/>
      <c r="F245" s="1032"/>
      <c r="G245" s="1020"/>
      <c r="H245" s="1659"/>
      <c r="I245" s="1659"/>
      <c r="J245" s="1077" t="str">
        <f t="shared" si="16"/>
        <v/>
      </c>
      <c r="K245" s="1659"/>
      <c r="L245" s="1659"/>
      <c r="M245" s="1078" t="str">
        <f t="shared" si="17"/>
        <v/>
      </c>
      <c r="N245" s="1659"/>
      <c r="O245" s="1659"/>
      <c r="P245" s="1078" t="str">
        <f t="shared" si="18"/>
        <v/>
      </c>
      <c r="Q245" s="1659"/>
      <c r="R245" s="1659"/>
      <c r="S245" s="1078" t="str">
        <f t="shared" si="19"/>
        <v/>
      </c>
      <c r="T245" s="1661"/>
      <c r="U245" s="1659"/>
      <c r="V245" s="1078" t="str">
        <f t="shared" si="20"/>
        <v/>
      </c>
      <c r="W245" s="1016"/>
      <c r="X245" s="1016"/>
      <c r="Y245" s="1016"/>
      <c r="Z245" s="1016"/>
      <c r="AA245" s="1016"/>
      <c r="AB245" s="1016"/>
      <c r="AC245" s="1016"/>
      <c r="AD245" s="1016"/>
      <c r="AE245" s="1016"/>
      <c r="AF245" s="1016"/>
      <c r="AG245" s="1016"/>
      <c r="AH245" s="1016"/>
      <c r="AI245" s="1016"/>
      <c r="AJ245" s="1016"/>
      <c r="AK245" s="1016"/>
      <c r="AL245" s="1016"/>
      <c r="AM245" s="1016"/>
      <c r="AN245" s="1016"/>
      <c r="AO245" s="1016"/>
      <c r="AP245" s="1016"/>
      <c r="AQ245" s="1016"/>
      <c r="AR245" s="1016"/>
      <c r="AS245" s="1016"/>
      <c r="AT245" s="1016"/>
      <c r="AU245" s="1016"/>
      <c r="AV245" s="1016"/>
      <c r="AW245" s="1016"/>
    </row>
    <row r="246" spans="2:49" x14ac:dyDescent="0.2">
      <c r="B246" s="1029"/>
      <c r="C246" s="1030"/>
      <c r="D246" s="1029"/>
      <c r="E246" s="1032"/>
      <c r="F246" s="1032"/>
      <c r="G246" s="1020"/>
      <c r="H246" s="1659"/>
      <c r="I246" s="1659"/>
      <c r="J246" s="1077" t="str">
        <f t="shared" si="16"/>
        <v/>
      </c>
      <c r="K246" s="1659"/>
      <c r="L246" s="1659"/>
      <c r="M246" s="1078" t="str">
        <f t="shared" si="17"/>
        <v/>
      </c>
      <c r="N246" s="1659"/>
      <c r="O246" s="1659"/>
      <c r="P246" s="1078" t="str">
        <f t="shared" si="18"/>
        <v/>
      </c>
      <c r="Q246" s="1659"/>
      <c r="R246" s="1659"/>
      <c r="S246" s="1078" t="str">
        <f t="shared" si="19"/>
        <v/>
      </c>
      <c r="T246" s="1661"/>
      <c r="U246" s="1659"/>
      <c r="V246" s="1078" t="str">
        <f t="shared" si="20"/>
        <v/>
      </c>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row>
    <row r="247" spans="2:49" x14ac:dyDescent="0.2">
      <c r="B247" s="1029"/>
      <c r="C247" s="1030"/>
      <c r="D247" s="1029"/>
      <c r="E247" s="1032"/>
      <c r="F247" s="1032"/>
      <c r="G247" s="1020"/>
      <c r="H247" s="1659"/>
      <c r="I247" s="1659"/>
      <c r="J247" s="1077" t="str">
        <f t="shared" si="16"/>
        <v/>
      </c>
      <c r="K247" s="1659"/>
      <c r="L247" s="1659"/>
      <c r="M247" s="1078" t="str">
        <f t="shared" si="17"/>
        <v/>
      </c>
      <c r="N247" s="1659"/>
      <c r="O247" s="1659"/>
      <c r="P247" s="1078" t="str">
        <f t="shared" si="18"/>
        <v/>
      </c>
      <c r="Q247" s="1659"/>
      <c r="R247" s="1659"/>
      <c r="S247" s="1078" t="str">
        <f t="shared" si="19"/>
        <v/>
      </c>
      <c r="T247" s="1661"/>
      <c r="U247" s="1659"/>
      <c r="V247" s="1078" t="str">
        <f t="shared" si="20"/>
        <v/>
      </c>
      <c r="W247" s="1016"/>
      <c r="X247" s="1016"/>
      <c r="Y247" s="1016"/>
      <c r="Z247" s="1016"/>
      <c r="AA247" s="1016"/>
      <c r="AB247" s="1016"/>
      <c r="AC247" s="1016"/>
      <c r="AD247" s="1016"/>
      <c r="AE247" s="1016"/>
      <c r="AF247" s="1016"/>
      <c r="AG247" s="1016"/>
      <c r="AH247" s="1016"/>
      <c r="AI247" s="1016"/>
      <c r="AJ247" s="1016"/>
      <c r="AK247" s="1016"/>
      <c r="AL247" s="1016"/>
      <c r="AM247" s="1016"/>
      <c r="AN247" s="1016"/>
      <c r="AO247" s="1016"/>
      <c r="AP247" s="1016"/>
      <c r="AQ247" s="1016"/>
      <c r="AR247" s="1016"/>
      <c r="AS247" s="1016"/>
      <c r="AT247" s="1016"/>
      <c r="AU247" s="1016"/>
      <c r="AV247" s="1016"/>
      <c r="AW247" s="1016"/>
    </row>
    <row r="248" spans="2:49" x14ac:dyDescent="0.2">
      <c r="B248" s="1029"/>
      <c r="C248" s="1030"/>
      <c r="D248" s="1029"/>
      <c r="E248" s="1032"/>
      <c r="F248" s="1032"/>
      <c r="G248" s="1020"/>
      <c r="H248" s="1659"/>
      <c r="I248" s="1659"/>
      <c r="J248" s="1077" t="str">
        <f t="shared" si="16"/>
        <v/>
      </c>
      <c r="K248" s="1659"/>
      <c r="L248" s="1659"/>
      <c r="M248" s="1078" t="str">
        <f t="shared" si="17"/>
        <v/>
      </c>
      <c r="N248" s="1659"/>
      <c r="O248" s="1659"/>
      <c r="P248" s="1078" t="str">
        <f t="shared" si="18"/>
        <v/>
      </c>
      <c r="Q248" s="1659"/>
      <c r="R248" s="1659"/>
      <c r="S248" s="1078" t="str">
        <f t="shared" si="19"/>
        <v/>
      </c>
      <c r="T248" s="1661"/>
      <c r="U248" s="1659"/>
      <c r="V248" s="1078" t="str">
        <f t="shared" si="20"/>
        <v/>
      </c>
      <c r="W248" s="1016"/>
      <c r="X248" s="1016"/>
      <c r="Y248" s="1016"/>
      <c r="Z248" s="1016"/>
      <c r="AA248" s="1016"/>
      <c r="AB248" s="1016"/>
      <c r="AC248" s="1016"/>
      <c r="AD248" s="1016"/>
      <c r="AE248" s="1016"/>
      <c r="AF248" s="1016"/>
      <c r="AG248" s="1016"/>
      <c r="AH248" s="1016"/>
      <c r="AI248" s="1016"/>
      <c r="AJ248" s="1016"/>
      <c r="AK248" s="1016"/>
      <c r="AL248" s="1016"/>
      <c r="AM248" s="1016"/>
      <c r="AN248" s="1016"/>
      <c r="AO248" s="1016"/>
      <c r="AP248" s="1016"/>
      <c r="AQ248" s="1016"/>
      <c r="AR248" s="1016"/>
      <c r="AS248" s="1016"/>
      <c r="AT248" s="1016"/>
      <c r="AU248" s="1016"/>
      <c r="AV248" s="1016"/>
      <c r="AW248" s="1016"/>
    </row>
    <row r="249" spans="2:49" x14ac:dyDescent="0.2">
      <c r="B249" s="1029"/>
      <c r="C249" s="1030"/>
      <c r="D249" s="1029"/>
      <c r="E249" s="1032"/>
      <c r="F249" s="1032"/>
      <c r="G249" s="1020"/>
      <c r="H249" s="1659"/>
      <c r="I249" s="1659"/>
      <c r="J249" s="1077" t="str">
        <f t="shared" si="16"/>
        <v/>
      </c>
      <c r="K249" s="1659"/>
      <c r="L249" s="1659"/>
      <c r="M249" s="1078" t="str">
        <f t="shared" si="17"/>
        <v/>
      </c>
      <c r="N249" s="1659"/>
      <c r="O249" s="1659"/>
      <c r="P249" s="1078" t="str">
        <f t="shared" si="18"/>
        <v/>
      </c>
      <c r="Q249" s="1659"/>
      <c r="R249" s="1659"/>
      <c r="S249" s="1078" t="str">
        <f t="shared" si="19"/>
        <v/>
      </c>
      <c r="T249" s="1661"/>
      <c r="U249" s="1659"/>
      <c r="V249" s="1078" t="str">
        <f t="shared" si="20"/>
        <v/>
      </c>
      <c r="W249" s="1016"/>
      <c r="X249" s="1016"/>
      <c r="Y249" s="1016"/>
      <c r="Z249" s="1016"/>
      <c r="AA249" s="1016"/>
      <c r="AB249" s="1016"/>
      <c r="AC249" s="1016"/>
      <c r="AD249" s="1016"/>
      <c r="AE249" s="1016"/>
      <c r="AF249" s="1016"/>
      <c r="AG249" s="1016"/>
      <c r="AH249" s="1016"/>
      <c r="AI249" s="1016"/>
      <c r="AJ249" s="1016"/>
      <c r="AK249" s="1016"/>
      <c r="AL249" s="1016"/>
      <c r="AM249" s="1016"/>
      <c r="AN249" s="1016"/>
      <c r="AO249" s="1016"/>
      <c r="AP249" s="1016"/>
      <c r="AQ249" s="1016"/>
      <c r="AR249" s="1016"/>
      <c r="AS249" s="1016"/>
      <c r="AT249" s="1016"/>
      <c r="AU249" s="1016"/>
      <c r="AV249" s="1016"/>
      <c r="AW249" s="1016"/>
    </row>
    <row r="250" spans="2:49" x14ac:dyDescent="0.2">
      <c r="B250" s="1029"/>
      <c r="C250" s="1030"/>
      <c r="D250" s="1029"/>
      <c r="E250" s="1032"/>
      <c r="F250" s="1032"/>
      <c r="G250" s="1020"/>
      <c r="H250" s="1659"/>
      <c r="I250" s="1659"/>
      <c r="J250" s="1077" t="str">
        <f t="shared" si="16"/>
        <v/>
      </c>
      <c r="K250" s="1659"/>
      <c r="L250" s="1659"/>
      <c r="M250" s="1078" t="str">
        <f t="shared" si="17"/>
        <v/>
      </c>
      <c r="N250" s="1659"/>
      <c r="O250" s="1659"/>
      <c r="P250" s="1078" t="str">
        <f t="shared" si="18"/>
        <v/>
      </c>
      <c r="Q250" s="1659"/>
      <c r="R250" s="1659"/>
      <c r="S250" s="1078" t="str">
        <f t="shared" si="19"/>
        <v/>
      </c>
      <c r="T250" s="1661"/>
      <c r="U250" s="1659"/>
      <c r="V250" s="1078" t="str">
        <f t="shared" si="20"/>
        <v/>
      </c>
      <c r="W250" s="1016"/>
      <c r="X250" s="1016"/>
      <c r="Y250" s="1016"/>
      <c r="Z250" s="1016"/>
      <c r="AA250" s="1016"/>
      <c r="AB250" s="1016"/>
      <c r="AC250" s="1016"/>
      <c r="AD250" s="1016"/>
      <c r="AE250" s="1016"/>
      <c r="AF250" s="1016"/>
      <c r="AG250" s="1016"/>
      <c r="AH250" s="1016"/>
      <c r="AI250" s="1016"/>
      <c r="AJ250" s="1016"/>
      <c r="AK250" s="1016"/>
      <c r="AL250" s="1016"/>
      <c r="AM250" s="1016"/>
      <c r="AN250" s="1016"/>
      <c r="AO250" s="1016"/>
      <c r="AP250" s="1016"/>
      <c r="AQ250" s="1016"/>
      <c r="AR250" s="1016"/>
      <c r="AS250" s="1016"/>
      <c r="AT250" s="1016"/>
      <c r="AU250" s="1016"/>
      <c r="AV250" s="1016"/>
      <c r="AW250" s="1016"/>
    </row>
    <row r="251" spans="2:49" x14ac:dyDescent="0.2">
      <c r="B251" s="1029"/>
      <c r="C251" s="1030"/>
      <c r="D251" s="1029"/>
      <c r="E251" s="1032"/>
      <c r="F251" s="1032"/>
      <c r="G251" s="1020"/>
      <c r="H251" s="1659"/>
      <c r="I251" s="1659"/>
      <c r="J251" s="1077" t="str">
        <f t="shared" si="16"/>
        <v/>
      </c>
      <c r="K251" s="1659"/>
      <c r="L251" s="1659"/>
      <c r="M251" s="1078" t="str">
        <f t="shared" si="17"/>
        <v/>
      </c>
      <c r="N251" s="1659"/>
      <c r="O251" s="1659"/>
      <c r="P251" s="1078" t="str">
        <f t="shared" si="18"/>
        <v/>
      </c>
      <c r="Q251" s="1659"/>
      <c r="R251" s="1659"/>
      <c r="S251" s="1078" t="str">
        <f t="shared" si="19"/>
        <v/>
      </c>
      <c r="T251" s="1661"/>
      <c r="U251" s="1659"/>
      <c r="V251" s="1078" t="str">
        <f t="shared" si="20"/>
        <v/>
      </c>
      <c r="W251" s="1016"/>
      <c r="X251" s="1016"/>
      <c r="Y251" s="1016"/>
      <c r="Z251" s="1016"/>
      <c r="AA251" s="1016"/>
      <c r="AB251" s="1016"/>
      <c r="AC251" s="1016"/>
      <c r="AD251" s="1016"/>
      <c r="AE251" s="1016"/>
      <c r="AF251" s="1016"/>
      <c r="AG251" s="1016"/>
      <c r="AH251" s="1016"/>
      <c r="AI251" s="1016"/>
      <c r="AJ251" s="1016"/>
      <c r="AK251" s="1016"/>
      <c r="AL251" s="1016"/>
      <c r="AM251" s="1016"/>
      <c r="AN251" s="1016"/>
      <c r="AO251" s="1016"/>
      <c r="AP251" s="1016"/>
      <c r="AQ251" s="1016"/>
      <c r="AR251" s="1016"/>
      <c r="AS251" s="1016"/>
      <c r="AT251" s="1016"/>
      <c r="AU251" s="1016"/>
      <c r="AV251" s="1016"/>
      <c r="AW251" s="1016"/>
    </row>
    <row r="252" spans="2:49" x14ac:dyDescent="0.2">
      <c r="B252" s="1029"/>
      <c r="C252" s="1030"/>
      <c r="D252" s="1029"/>
      <c r="E252" s="1032"/>
      <c r="F252" s="1032"/>
      <c r="G252" s="1020"/>
      <c r="H252" s="1659"/>
      <c r="I252" s="1659"/>
      <c r="J252" s="1077" t="str">
        <f t="shared" si="16"/>
        <v/>
      </c>
      <c r="K252" s="1659"/>
      <c r="L252" s="1659"/>
      <c r="M252" s="1078" t="str">
        <f t="shared" si="17"/>
        <v/>
      </c>
      <c r="N252" s="1659"/>
      <c r="O252" s="1659"/>
      <c r="P252" s="1078" t="str">
        <f t="shared" si="18"/>
        <v/>
      </c>
      <c r="Q252" s="1659"/>
      <c r="R252" s="1659"/>
      <c r="S252" s="1078" t="str">
        <f t="shared" si="19"/>
        <v/>
      </c>
      <c r="T252" s="1661"/>
      <c r="U252" s="1659"/>
      <c r="V252" s="1078" t="str">
        <f t="shared" si="20"/>
        <v/>
      </c>
      <c r="W252" s="1016"/>
      <c r="X252" s="1016"/>
      <c r="Y252" s="1016"/>
      <c r="Z252" s="1016"/>
      <c r="AA252" s="1016"/>
      <c r="AB252" s="1016"/>
      <c r="AC252" s="1016"/>
      <c r="AD252" s="1016"/>
      <c r="AE252" s="1016"/>
      <c r="AF252" s="1016"/>
      <c r="AG252" s="1016"/>
      <c r="AH252" s="1016"/>
      <c r="AI252" s="1016"/>
      <c r="AJ252" s="1016"/>
      <c r="AK252" s="1016"/>
      <c r="AL252" s="1016"/>
      <c r="AM252" s="1016"/>
      <c r="AN252" s="1016"/>
      <c r="AO252" s="1016"/>
      <c r="AP252" s="1016"/>
      <c r="AQ252" s="1016"/>
      <c r="AR252" s="1016"/>
      <c r="AS252" s="1016"/>
      <c r="AT252" s="1016"/>
      <c r="AU252" s="1016"/>
      <c r="AV252" s="1016"/>
      <c r="AW252" s="1016"/>
    </row>
    <row r="253" spans="2:49" x14ac:dyDescent="0.2">
      <c r="B253" s="1029"/>
      <c r="C253" s="1030"/>
      <c r="D253" s="1029"/>
      <c r="E253" s="1032"/>
      <c r="F253" s="1032"/>
      <c r="G253" s="1020"/>
      <c r="H253" s="1659"/>
      <c r="I253" s="1659"/>
      <c r="J253" s="1077" t="str">
        <f t="shared" si="16"/>
        <v/>
      </c>
      <c r="K253" s="1659"/>
      <c r="L253" s="1659"/>
      <c r="M253" s="1078" t="str">
        <f t="shared" si="17"/>
        <v/>
      </c>
      <c r="N253" s="1659"/>
      <c r="O253" s="1659"/>
      <c r="P253" s="1078" t="str">
        <f t="shared" si="18"/>
        <v/>
      </c>
      <c r="Q253" s="1659"/>
      <c r="R253" s="1659"/>
      <c r="S253" s="1078" t="str">
        <f t="shared" si="19"/>
        <v/>
      </c>
      <c r="T253" s="1661"/>
      <c r="U253" s="1659"/>
      <c r="V253" s="1078" t="str">
        <f t="shared" si="20"/>
        <v/>
      </c>
      <c r="W253" s="1016"/>
      <c r="X253" s="1016"/>
      <c r="Y253" s="1016"/>
      <c r="Z253" s="1016"/>
      <c r="AA253" s="1016"/>
      <c r="AB253" s="1016"/>
      <c r="AC253" s="1016"/>
      <c r="AD253" s="1016"/>
      <c r="AE253" s="1016"/>
      <c r="AF253" s="1016"/>
      <c r="AG253" s="1016"/>
      <c r="AH253" s="1016"/>
      <c r="AI253" s="1016"/>
      <c r="AJ253" s="1016"/>
      <c r="AK253" s="1016"/>
      <c r="AL253" s="1016"/>
      <c r="AM253" s="1016"/>
      <c r="AN253" s="1016"/>
      <c r="AO253" s="1016"/>
      <c r="AP253" s="1016"/>
      <c r="AQ253" s="1016"/>
      <c r="AR253" s="1016"/>
      <c r="AS253" s="1016"/>
      <c r="AT253" s="1016"/>
      <c r="AU253" s="1016"/>
      <c r="AV253" s="1016"/>
      <c r="AW253" s="1016"/>
    </row>
    <row r="254" spans="2:49" x14ac:dyDescent="0.2">
      <c r="B254" s="1029"/>
      <c r="C254" s="1030"/>
      <c r="D254" s="1029"/>
      <c r="E254" s="1032"/>
      <c r="F254" s="1032"/>
      <c r="G254" s="1020"/>
      <c r="H254" s="1659"/>
      <c r="I254" s="1659"/>
      <c r="J254" s="1077" t="str">
        <f t="shared" si="16"/>
        <v/>
      </c>
      <c r="K254" s="1659"/>
      <c r="L254" s="1659"/>
      <c r="M254" s="1078" t="str">
        <f t="shared" si="17"/>
        <v/>
      </c>
      <c r="N254" s="1659"/>
      <c r="O254" s="1659"/>
      <c r="P254" s="1078" t="str">
        <f t="shared" si="18"/>
        <v/>
      </c>
      <c r="Q254" s="1659"/>
      <c r="R254" s="1659"/>
      <c r="S254" s="1078" t="str">
        <f t="shared" si="19"/>
        <v/>
      </c>
      <c r="T254" s="1661"/>
      <c r="U254" s="1659"/>
      <c r="V254" s="1078" t="str">
        <f t="shared" si="20"/>
        <v/>
      </c>
      <c r="W254" s="1016"/>
      <c r="X254" s="1016"/>
      <c r="Y254" s="1016"/>
      <c r="Z254" s="1016"/>
      <c r="AA254" s="1016"/>
      <c r="AB254" s="1016"/>
      <c r="AC254" s="1016"/>
      <c r="AD254" s="1016"/>
      <c r="AE254" s="1016"/>
      <c r="AF254" s="1016"/>
      <c r="AG254" s="1016"/>
      <c r="AH254" s="1016"/>
      <c r="AI254" s="1016"/>
      <c r="AJ254" s="1016"/>
      <c r="AK254" s="1016"/>
      <c r="AL254" s="1016"/>
      <c r="AM254" s="1016"/>
      <c r="AN254" s="1016"/>
      <c r="AO254" s="1016"/>
      <c r="AP254" s="1016"/>
      <c r="AQ254" s="1016"/>
      <c r="AR254" s="1016"/>
      <c r="AS254" s="1016"/>
      <c r="AT254" s="1016"/>
      <c r="AU254" s="1016"/>
      <c r="AV254" s="1016"/>
      <c r="AW254" s="1016"/>
    </row>
    <row r="255" spans="2:49" x14ac:dyDescent="0.2">
      <c r="B255" s="1029"/>
      <c r="C255" s="1030"/>
      <c r="D255" s="1029"/>
      <c r="E255" s="1032"/>
      <c r="F255" s="1032"/>
      <c r="G255" s="1020"/>
      <c r="H255" s="1659"/>
      <c r="I255" s="1659"/>
      <c r="J255" s="1077" t="str">
        <f t="shared" si="16"/>
        <v/>
      </c>
      <c r="K255" s="1659"/>
      <c r="L255" s="1659"/>
      <c r="M255" s="1078" t="str">
        <f t="shared" si="17"/>
        <v/>
      </c>
      <c r="N255" s="1659"/>
      <c r="O255" s="1659"/>
      <c r="P255" s="1078" t="str">
        <f t="shared" si="18"/>
        <v/>
      </c>
      <c r="Q255" s="1659"/>
      <c r="R255" s="1659"/>
      <c r="S255" s="1078" t="str">
        <f t="shared" si="19"/>
        <v/>
      </c>
      <c r="T255" s="1661"/>
      <c r="U255" s="1659"/>
      <c r="V255" s="1078" t="str">
        <f t="shared" si="20"/>
        <v/>
      </c>
      <c r="W255" s="1016"/>
      <c r="X255" s="1016"/>
      <c r="Y255" s="1016"/>
      <c r="Z255" s="1016"/>
      <c r="AA255" s="1016"/>
      <c r="AB255" s="1016"/>
      <c r="AC255" s="1016"/>
      <c r="AD255" s="1016"/>
      <c r="AE255" s="1016"/>
      <c r="AF255" s="1016"/>
      <c r="AG255" s="1016"/>
      <c r="AH255" s="1016"/>
      <c r="AI255" s="1016"/>
      <c r="AJ255" s="1016"/>
      <c r="AK255" s="1016"/>
      <c r="AL255" s="1016"/>
      <c r="AM255" s="1016"/>
      <c r="AN255" s="1016"/>
      <c r="AO255" s="1016"/>
      <c r="AP255" s="1016"/>
      <c r="AQ255" s="1016"/>
      <c r="AR255" s="1016"/>
      <c r="AS255" s="1016"/>
      <c r="AT255" s="1016"/>
      <c r="AU255" s="1016"/>
      <c r="AV255" s="1016"/>
      <c r="AW255" s="1016"/>
    </row>
    <row r="256" spans="2:49" x14ac:dyDescent="0.2">
      <c r="B256" s="1029"/>
      <c r="C256" s="1030"/>
      <c r="D256" s="1029"/>
      <c r="E256" s="1032"/>
      <c r="F256" s="1032"/>
      <c r="G256" s="1020"/>
      <c r="H256" s="1659"/>
      <c r="I256" s="1659"/>
      <c r="J256" s="1077" t="str">
        <f t="shared" si="16"/>
        <v/>
      </c>
      <c r="K256" s="1659"/>
      <c r="L256" s="1659"/>
      <c r="M256" s="1078" t="str">
        <f t="shared" si="17"/>
        <v/>
      </c>
      <c r="N256" s="1659"/>
      <c r="O256" s="1659"/>
      <c r="P256" s="1078" t="str">
        <f t="shared" si="18"/>
        <v/>
      </c>
      <c r="Q256" s="1659"/>
      <c r="R256" s="1659"/>
      <c r="S256" s="1078" t="str">
        <f t="shared" si="19"/>
        <v/>
      </c>
      <c r="T256" s="1661"/>
      <c r="U256" s="1659"/>
      <c r="V256" s="1078" t="str">
        <f t="shared" si="20"/>
        <v/>
      </c>
      <c r="W256" s="1016"/>
      <c r="X256" s="1016"/>
      <c r="Y256" s="1016"/>
      <c r="Z256" s="1016"/>
      <c r="AA256" s="1016"/>
      <c r="AB256" s="1016"/>
      <c r="AC256" s="1016"/>
      <c r="AD256" s="1016"/>
      <c r="AE256" s="1016"/>
      <c r="AF256" s="1016"/>
      <c r="AG256" s="1016"/>
      <c r="AH256" s="1016"/>
      <c r="AI256" s="1016"/>
      <c r="AJ256" s="1016"/>
      <c r="AK256" s="1016"/>
      <c r="AL256" s="1016"/>
      <c r="AM256" s="1016"/>
      <c r="AN256" s="1016"/>
      <c r="AO256" s="1016"/>
      <c r="AP256" s="1016"/>
      <c r="AQ256" s="1016"/>
      <c r="AR256" s="1016"/>
      <c r="AS256" s="1016"/>
      <c r="AT256" s="1016"/>
      <c r="AU256" s="1016"/>
      <c r="AV256" s="1016"/>
      <c r="AW256" s="1016"/>
    </row>
    <row r="257" spans="2:49" x14ac:dyDescent="0.2">
      <c r="B257" s="1029"/>
      <c r="C257" s="1030"/>
      <c r="D257" s="1029"/>
      <c r="E257" s="1032"/>
      <c r="F257" s="1032"/>
      <c r="G257" s="1020"/>
      <c r="H257" s="1659"/>
      <c r="I257" s="1659"/>
      <c r="J257" s="1077" t="str">
        <f t="shared" si="16"/>
        <v/>
      </c>
      <c r="K257" s="1659"/>
      <c r="L257" s="1659"/>
      <c r="M257" s="1078" t="str">
        <f t="shared" si="17"/>
        <v/>
      </c>
      <c r="N257" s="1659"/>
      <c r="O257" s="1659"/>
      <c r="P257" s="1078" t="str">
        <f t="shared" si="18"/>
        <v/>
      </c>
      <c r="Q257" s="1659"/>
      <c r="R257" s="1659"/>
      <c r="S257" s="1078" t="str">
        <f t="shared" si="19"/>
        <v/>
      </c>
      <c r="T257" s="1661"/>
      <c r="U257" s="1659"/>
      <c r="V257" s="1078" t="str">
        <f t="shared" si="20"/>
        <v/>
      </c>
      <c r="W257" s="1016"/>
      <c r="X257" s="1016"/>
      <c r="Y257" s="1016"/>
      <c r="Z257" s="1016"/>
      <c r="AA257" s="1016"/>
      <c r="AB257" s="1016"/>
      <c r="AC257" s="1016"/>
      <c r="AD257" s="1016"/>
      <c r="AE257" s="1016"/>
      <c r="AF257" s="1016"/>
      <c r="AG257" s="1016"/>
      <c r="AH257" s="1016"/>
      <c r="AI257" s="1016"/>
      <c r="AJ257" s="1016"/>
      <c r="AK257" s="1016"/>
      <c r="AL257" s="1016"/>
      <c r="AM257" s="1016"/>
      <c r="AN257" s="1016"/>
      <c r="AO257" s="1016"/>
      <c r="AP257" s="1016"/>
      <c r="AQ257" s="1016"/>
      <c r="AR257" s="1016"/>
      <c r="AS257" s="1016"/>
      <c r="AT257" s="1016"/>
      <c r="AU257" s="1016"/>
      <c r="AV257" s="1016"/>
      <c r="AW257" s="1016"/>
    </row>
    <row r="258" spans="2:49" x14ac:dyDescent="0.2">
      <c r="B258" s="1029"/>
      <c r="C258" s="1030"/>
      <c r="D258" s="1029"/>
      <c r="E258" s="1032"/>
      <c r="F258" s="1032"/>
      <c r="G258" s="1020"/>
      <c r="H258" s="1659"/>
      <c r="I258" s="1659"/>
      <c r="J258" s="1077" t="str">
        <f t="shared" si="16"/>
        <v/>
      </c>
      <c r="K258" s="1659"/>
      <c r="L258" s="1659"/>
      <c r="M258" s="1078" t="str">
        <f t="shared" si="17"/>
        <v/>
      </c>
      <c r="N258" s="1659"/>
      <c r="O258" s="1659"/>
      <c r="P258" s="1078" t="str">
        <f t="shared" si="18"/>
        <v/>
      </c>
      <c r="Q258" s="1659"/>
      <c r="R258" s="1659"/>
      <c r="S258" s="1078" t="str">
        <f t="shared" si="19"/>
        <v/>
      </c>
      <c r="T258" s="1661"/>
      <c r="U258" s="1659"/>
      <c r="V258" s="1078" t="str">
        <f t="shared" si="20"/>
        <v/>
      </c>
      <c r="W258" s="1016"/>
      <c r="X258" s="1016"/>
      <c r="Y258" s="1016"/>
      <c r="Z258" s="1016"/>
      <c r="AA258" s="1016"/>
      <c r="AB258" s="1016"/>
      <c r="AC258" s="1016"/>
      <c r="AD258" s="1016"/>
      <c r="AE258" s="1016"/>
      <c r="AF258" s="1016"/>
      <c r="AG258" s="1016"/>
      <c r="AH258" s="1016"/>
      <c r="AI258" s="1016"/>
      <c r="AJ258" s="1016"/>
      <c r="AK258" s="1016"/>
      <c r="AL258" s="1016"/>
      <c r="AM258" s="1016"/>
      <c r="AN258" s="1016"/>
      <c r="AO258" s="1016"/>
      <c r="AP258" s="1016"/>
      <c r="AQ258" s="1016"/>
      <c r="AR258" s="1016"/>
      <c r="AS258" s="1016"/>
      <c r="AT258" s="1016"/>
      <c r="AU258" s="1016"/>
      <c r="AV258" s="1016"/>
      <c r="AW258" s="1016"/>
    </row>
    <row r="259" spans="2:49" x14ac:dyDescent="0.2">
      <c r="B259" s="1029"/>
      <c r="C259" s="1030"/>
      <c r="D259" s="1029"/>
      <c r="E259" s="1032"/>
      <c r="F259" s="1032"/>
      <c r="G259" s="1020"/>
      <c r="H259" s="1659"/>
      <c r="I259" s="1659"/>
      <c r="J259" s="1077" t="str">
        <f t="shared" si="16"/>
        <v/>
      </c>
      <c r="K259" s="1659"/>
      <c r="L259" s="1659"/>
      <c r="M259" s="1078" t="str">
        <f t="shared" si="17"/>
        <v/>
      </c>
      <c r="N259" s="1659"/>
      <c r="O259" s="1659"/>
      <c r="P259" s="1078" t="str">
        <f t="shared" si="18"/>
        <v/>
      </c>
      <c r="Q259" s="1659"/>
      <c r="R259" s="1659"/>
      <c r="S259" s="1078" t="str">
        <f t="shared" si="19"/>
        <v/>
      </c>
      <c r="T259" s="1661"/>
      <c r="U259" s="1659"/>
      <c r="V259" s="1078" t="str">
        <f t="shared" si="20"/>
        <v/>
      </c>
      <c r="W259" s="1016"/>
      <c r="X259" s="1016"/>
      <c r="Y259" s="1016"/>
      <c r="Z259" s="1016"/>
      <c r="AA259" s="1016"/>
      <c r="AB259" s="1016"/>
      <c r="AC259" s="1016"/>
      <c r="AD259" s="1016"/>
      <c r="AE259" s="1016"/>
      <c r="AF259" s="1016"/>
      <c r="AG259" s="1016"/>
      <c r="AH259" s="1016"/>
      <c r="AI259" s="1016"/>
      <c r="AJ259" s="1016"/>
      <c r="AK259" s="1016"/>
      <c r="AL259" s="1016"/>
      <c r="AM259" s="1016"/>
      <c r="AN259" s="1016"/>
      <c r="AO259" s="1016"/>
      <c r="AP259" s="1016"/>
      <c r="AQ259" s="1016"/>
      <c r="AR259" s="1016"/>
      <c r="AS259" s="1016"/>
      <c r="AT259" s="1016"/>
      <c r="AU259" s="1016"/>
      <c r="AV259" s="1016"/>
      <c r="AW259" s="1016"/>
    </row>
    <row r="260" spans="2:49" x14ac:dyDescent="0.2">
      <c r="B260" s="1029"/>
      <c r="C260" s="1030"/>
      <c r="D260" s="1029"/>
      <c r="E260" s="1032"/>
      <c r="F260" s="1032"/>
      <c r="G260" s="1020"/>
      <c r="H260" s="1659"/>
      <c r="I260" s="1659"/>
      <c r="J260" s="1077" t="str">
        <f t="shared" si="16"/>
        <v/>
      </c>
      <c r="K260" s="1659"/>
      <c r="L260" s="1659"/>
      <c r="M260" s="1078" t="str">
        <f t="shared" si="17"/>
        <v/>
      </c>
      <c r="N260" s="1659"/>
      <c r="O260" s="1659"/>
      <c r="P260" s="1078" t="str">
        <f t="shared" si="18"/>
        <v/>
      </c>
      <c r="Q260" s="1659"/>
      <c r="R260" s="1659"/>
      <c r="S260" s="1078" t="str">
        <f t="shared" si="19"/>
        <v/>
      </c>
      <c r="T260" s="1661"/>
      <c r="U260" s="1659"/>
      <c r="V260" s="1078" t="str">
        <f t="shared" si="20"/>
        <v/>
      </c>
      <c r="W260" s="1016"/>
      <c r="X260" s="1016"/>
      <c r="Y260" s="1016"/>
      <c r="Z260" s="1016"/>
      <c r="AA260" s="1016"/>
      <c r="AB260" s="1016"/>
      <c r="AC260" s="1016"/>
      <c r="AD260" s="1016"/>
      <c r="AE260" s="1016"/>
      <c r="AF260" s="1016"/>
      <c r="AG260" s="1016"/>
      <c r="AH260" s="1016"/>
      <c r="AI260" s="1016"/>
      <c r="AJ260" s="1016"/>
      <c r="AK260" s="1016"/>
      <c r="AL260" s="1016"/>
      <c r="AM260" s="1016"/>
      <c r="AN260" s="1016"/>
      <c r="AO260" s="1016"/>
      <c r="AP260" s="1016"/>
      <c r="AQ260" s="1016"/>
      <c r="AR260" s="1016"/>
      <c r="AS260" s="1016"/>
      <c r="AT260" s="1016"/>
      <c r="AU260" s="1016"/>
      <c r="AV260" s="1016"/>
      <c r="AW260" s="1016"/>
    </row>
    <row r="261" spans="2:49" x14ac:dyDescent="0.2">
      <c r="B261" s="1029"/>
      <c r="C261" s="1030"/>
      <c r="D261" s="1029"/>
      <c r="E261" s="1032"/>
      <c r="F261" s="1032"/>
      <c r="G261" s="1020"/>
      <c r="H261" s="1659"/>
      <c r="I261" s="1659"/>
      <c r="J261" s="1077" t="str">
        <f t="shared" si="16"/>
        <v/>
      </c>
      <c r="K261" s="1659"/>
      <c r="L261" s="1659"/>
      <c r="M261" s="1078" t="str">
        <f t="shared" si="17"/>
        <v/>
      </c>
      <c r="N261" s="1659"/>
      <c r="O261" s="1659"/>
      <c r="P261" s="1078" t="str">
        <f t="shared" si="18"/>
        <v/>
      </c>
      <c r="Q261" s="1659"/>
      <c r="R261" s="1659"/>
      <c r="S261" s="1078" t="str">
        <f t="shared" si="19"/>
        <v/>
      </c>
      <c r="T261" s="1661"/>
      <c r="U261" s="1659"/>
      <c r="V261" s="1078" t="str">
        <f t="shared" si="20"/>
        <v/>
      </c>
      <c r="W261" s="1016"/>
      <c r="X261" s="1016"/>
      <c r="Y261" s="1016"/>
      <c r="Z261" s="1016"/>
      <c r="AA261" s="1016"/>
      <c r="AB261" s="1016"/>
      <c r="AC261" s="1016"/>
      <c r="AD261" s="1016"/>
      <c r="AE261" s="1016"/>
      <c r="AF261" s="1016"/>
      <c r="AG261" s="1016"/>
      <c r="AH261" s="1016"/>
      <c r="AI261" s="1016"/>
      <c r="AJ261" s="1016"/>
      <c r="AK261" s="1016"/>
      <c r="AL261" s="1016"/>
      <c r="AM261" s="1016"/>
      <c r="AN261" s="1016"/>
      <c r="AO261" s="1016"/>
      <c r="AP261" s="1016"/>
      <c r="AQ261" s="1016"/>
      <c r="AR261" s="1016"/>
      <c r="AS261" s="1016"/>
      <c r="AT261" s="1016"/>
      <c r="AU261" s="1016"/>
      <c r="AV261" s="1016"/>
      <c r="AW261" s="1016"/>
    </row>
    <row r="262" spans="2:49" x14ac:dyDescent="0.2">
      <c r="B262" s="1029"/>
      <c r="C262" s="1030"/>
      <c r="D262" s="1029"/>
      <c r="E262" s="1032"/>
      <c r="F262" s="1032"/>
      <c r="G262" s="1020"/>
      <c r="H262" s="1659"/>
      <c r="I262" s="1659"/>
      <c r="J262" s="1077" t="str">
        <f t="shared" si="16"/>
        <v/>
      </c>
      <c r="K262" s="1659"/>
      <c r="L262" s="1659"/>
      <c r="M262" s="1078" t="str">
        <f t="shared" si="17"/>
        <v/>
      </c>
      <c r="N262" s="1659"/>
      <c r="O262" s="1659"/>
      <c r="P262" s="1078" t="str">
        <f t="shared" si="18"/>
        <v/>
      </c>
      <c r="Q262" s="1659"/>
      <c r="R262" s="1659"/>
      <c r="S262" s="1078" t="str">
        <f t="shared" si="19"/>
        <v/>
      </c>
      <c r="T262" s="1661"/>
      <c r="U262" s="1659"/>
      <c r="V262" s="1078" t="str">
        <f t="shared" si="20"/>
        <v/>
      </c>
      <c r="W262" s="1016"/>
      <c r="X262" s="1016"/>
      <c r="Y262" s="1016"/>
      <c r="Z262" s="1016"/>
      <c r="AA262" s="1016"/>
      <c r="AB262" s="1016"/>
      <c r="AC262" s="1016"/>
      <c r="AD262" s="1016"/>
      <c r="AE262" s="1016"/>
      <c r="AF262" s="1016"/>
      <c r="AG262" s="1016"/>
      <c r="AH262" s="1016"/>
      <c r="AI262" s="1016"/>
      <c r="AJ262" s="1016"/>
      <c r="AK262" s="1016"/>
      <c r="AL262" s="1016"/>
      <c r="AM262" s="1016"/>
      <c r="AN262" s="1016"/>
      <c r="AO262" s="1016"/>
      <c r="AP262" s="1016"/>
      <c r="AQ262" s="1016"/>
      <c r="AR262" s="1016"/>
      <c r="AS262" s="1016"/>
      <c r="AT262" s="1016"/>
      <c r="AU262" s="1016"/>
      <c r="AV262" s="1016"/>
      <c r="AW262" s="1016"/>
    </row>
    <row r="263" spans="2:49" x14ac:dyDescent="0.2">
      <c r="B263" s="1029"/>
      <c r="C263" s="1030"/>
      <c r="D263" s="1029"/>
      <c r="E263" s="1032"/>
      <c r="F263" s="1032"/>
      <c r="G263" s="1020"/>
      <c r="H263" s="1659"/>
      <c r="I263" s="1659"/>
      <c r="J263" s="1077" t="str">
        <f t="shared" si="16"/>
        <v/>
      </c>
      <c r="K263" s="1659"/>
      <c r="L263" s="1659"/>
      <c r="M263" s="1078" t="str">
        <f t="shared" si="17"/>
        <v/>
      </c>
      <c r="N263" s="1659"/>
      <c r="O263" s="1659"/>
      <c r="P263" s="1078" t="str">
        <f t="shared" si="18"/>
        <v/>
      </c>
      <c r="Q263" s="1659"/>
      <c r="R263" s="1659"/>
      <c r="S263" s="1078" t="str">
        <f t="shared" si="19"/>
        <v/>
      </c>
      <c r="T263" s="1661"/>
      <c r="U263" s="1659"/>
      <c r="V263" s="1078" t="str">
        <f t="shared" si="20"/>
        <v/>
      </c>
      <c r="W263" s="1016"/>
      <c r="X263" s="1016"/>
      <c r="Y263" s="1016"/>
      <c r="Z263" s="1016"/>
      <c r="AA263" s="1016"/>
      <c r="AB263" s="1016"/>
      <c r="AC263" s="1016"/>
      <c r="AD263" s="1016"/>
      <c r="AE263" s="1016"/>
      <c r="AF263" s="1016"/>
      <c r="AG263" s="1016"/>
      <c r="AH263" s="1016"/>
      <c r="AI263" s="1016"/>
      <c r="AJ263" s="1016"/>
      <c r="AK263" s="1016"/>
      <c r="AL263" s="1016"/>
      <c r="AM263" s="1016"/>
      <c r="AN263" s="1016"/>
      <c r="AO263" s="1016"/>
      <c r="AP263" s="1016"/>
      <c r="AQ263" s="1016"/>
      <c r="AR263" s="1016"/>
      <c r="AS263" s="1016"/>
      <c r="AT263" s="1016"/>
      <c r="AU263" s="1016"/>
      <c r="AV263" s="1016"/>
      <c r="AW263" s="1016"/>
    </row>
    <row r="264" spans="2:49" x14ac:dyDescent="0.2">
      <c r="B264" s="1029"/>
      <c r="C264" s="1030"/>
      <c r="D264" s="1029"/>
      <c r="E264" s="1032"/>
      <c r="F264" s="1032"/>
      <c r="G264" s="1020"/>
      <c r="H264" s="1659"/>
      <c r="I264" s="1659"/>
      <c r="J264" s="1077" t="str">
        <f t="shared" si="16"/>
        <v/>
      </c>
      <c r="K264" s="1659"/>
      <c r="L264" s="1659"/>
      <c r="M264" s="1078" t="str">
        <f t="shared" si="17"/>
        <v/>
      </c>
      <c r="N264" s="1659"/>
      <c r="O264" s="1659"/>
      <c r="P264" s="1078" t="str">
        <f t="shared" si="18"/>
        <v/>
      </c>
      <c r="Q264" s="1659"/>
      <c r="R264" s="1659"/>
      <c r="S264" s="1078" t="str">
        <f t="shared" si="19"/>
        <v/>
      </c>
      <c r="T264" s="1661"/>
      <c r="U264" s="1659"/>
      <c r="V264" s="1078" t="str">
        <f t="shared" si="20"/>
        <v/>
      </c>
      <c r="W264" s="1016"/>
      <c r="X264" s="1016"/>
      <c r="Y264" s="1016"/>
      <c r="Z264" s="1016"/>
      <c r="AA264" s="1016"/>
      <c r="AB264" s="1016"/>
      <c r="AC264" s="1016"/>
      <c r="AD264" s="1016"/>
      <c r="AE264" s="1016"/>
      <c r="AF264" s="1016"/>
      <c r="AG264" s="1016"/>
      <c r="AH264" s="1016"/>
      <c r="AI264" s="1016"/>
      <c r="AJ264" s="1016"/>
      <c r="AK264" s="1016"/>
      <c r="AL264" s="1016"/>
      <c r="AM264" s="1016"/>
      <c r="AN264" s="1016"/>
      <c r="AO264" s="1016"/>
      <c r="AP264" s="1016"/>
      <c r="AQ264" s="1016"/>
      <c r="AR264" s="1016"/>
      <c r="AS264" s="1016"/>
      <c r="AT264" s="1016"/>
      <c r="AU264" s="1016"/>
      <c r="AV264" s="1016"/>
      <c r="AW264" s="1016"/>
    </row>
    <row r="265" spans="2:49" x14ac:dyDescent="0.2">
      <c r="B265" s="1029"/>
      <c r="C265" s="1030"/>
      <c r="D265" s="1029"/>
      <c r="E265" s="1032"/>
      <c r="F265" s="1032"/>
      <c r="G265" s="1020"/>
      <c r="H265" s="1659"/>
      <c r="I265" s="1659"/>
      <c r="J265" s="1077" t="str">
        <f t="shared" si="16"/>
        <v/>
      </c>
      <c r="K265" s="1659"/>
      <c r="L265" s="1659"/>
      <c r="M265" s="1078" t="str">
        <f t="shared" si="17"/>
        <v/>
      </c>
      <c r="N265" s="1659"/>
      <c r="O265" s="1659"/>
      <c r="P265" s="1078" t="str">
        <f t="shared" si="18"/>
        <v/>
      </c>
      <c r="Q265" s="1659"/>
      <c r="R265" s="1659"/>
      <c r="S265" s="1078" t="str">
        <f t="shared" si="19"/>
        <v/>
      </c>
      <c r="T265" s="1661"/>
      <c r="U265" s="1659"/>
      <c r="V265" s="1078" t="str">
        <f t="shared" si="20"/>
        <v/>
      </c>
      <c r="W265" s="1016"/>
      <c r="X265" s="1016"/>
      <c r="Y265" s="1016"/>
      <c r="Z265" s="1016"/>
      <c r="AA265" s="1016"/>
      <c r="AB265" s="1016"/>
      <c r="AC265" s="1016"/>
      <c r="AD265" s="1016"/>
      <c r="AE265" s="1016"/>
      <c r="AF265" s="1016"/>
      <c r="AG265" s="1016"/>
      <c r="AH265" s="1016"/>
      <c r="AI265" s="1016"/>
      <c r="AJ265" s="1016"/>
      <c r="AK265" s="1016"/>
      <c r="AL265" s="1016"/>
      <c r="AM265" s="1016"/>
      <c r="AN265" s="1016"/>
      <c r="AO265" s="1016"/>
      <c r="AP265" s="1016"/>
      <c r="AQ265" s="1016"/>
      <c r="AR265" s="1016"/>
      <c r="AS265" s="1016"/>
      <c r="AT265" s="1016"/>
      <c r="AU265" s="1016"/>
      <c r="AV265" s="1016"/>
      <c r="AW265" s="1016"/>
    </row>
    <row r="266" spans="2:49" x14ac:dyDescent="0.2">
      <c r="B266" s="1029"/>
      <c r="C266" s="1030"/>
      <c r="D266" s="1029"/>
      <c r="E266" s="1032"/>
      <c r="F266" s="1032"/>
      <c r="G266" s="1020"/>
      <c r="H266" s="1659"/>
      <c r="I266" s="1659"/>
      <c r="J266" s="1077" t="str">
        <f t="shared" si="16"/>
        <v/>
      </c>
      <c r="K266" s="1659"/>
      <c r="L266" s="1659"/>
      <c r="M266" s="1078" t="str">
        <f t="shared" si="17"/>
        <v/>
      </c>
      <c r="N266" s="1659"/>
      <c r="O266" s="1659"/>
      <c r="P266" s="1078" t="str">
        <f t="shared" si="18"/>
        <v/>
      </c>
      <c r="Q266" s="1659"/>
      <c r="R266" s="1659"/>
      <c r="S266" s="1078" t="str">
        <f t="shared" si="19"/>
        <v/>
      </c>
      <c r="T266" s="1661"/>
      <c r="U266" s="1659"/>
      <c r="V266" s="1078" t="str">
        <f t="shared" si="20"/>
        <v/>
      </c>
      <c r="W266" s="1016"/>
      <c r="X266" s="1016"/>
      <c r="Y266" s="1016"/>
      <c r="Z266" s="1016"/>
      <c r="AA266" s="1016"/>
      <c r="AB266" s="1016"/>
      <c r="AC266" s="1016"/>
      <c r="AD266" s="1016"/>
      <c r="AE266" s="1016"/>
      <c r="AF266" s="1016"/>
      <c r="AG266" s="1016"/>
      <c r="AH266" s="1016"/>
      <c r="AI266" s="1016"/>
      <c r="AJ266" s="1016"/>
      <c r="AK266" s="1016"/>
      <c r="AL266" s="1016"/>
      <c r="AM266" s="1016"/>
      <c r="AN266" s="1016"/>
      <c r="AO266" s="1016"/>
      <c r="AP266" s="1016"/>
      <c r="AQ266" s="1016"/>
      <c r="AR266" s="1016"/>
      <c r="AS266" s="1016"/>
      <c r="AT266" s="1016"/>
      <c r="AU266" s="1016"/>
      <c r="AV266" s="1016"/>
      <c r="AW266" s="1016"/>
    </row>
    <row r="267" spans="2:49" x14ac:dyDescent="0.2">
      <c r="B267" s="1029"/>
      <c r="C267" s="1030"/>
      <c r="D267" s="1029"/>
      <c r="E267" s="1032"/>
      <c r="F267" s="1032"/>
      <c r="G267" s="1020"/>
      <c r="H267" s="1659"/>
      <c r="I267" s="1659"/>
      <c r="J267" s="1077" t="str">
        <f t="shared" si="16"/>
        <v/>
      </c>
      <c r="K267" s="1659"/>
      <c r="L267" s="1659"/>
      <c r="M267" s="1078" t="str">
        <f t="shared" si="17"/>
        <v/>
      </c>
      <c r="N267" s="1659"/>
      <c r="O267" s="1659"/>
      <c r="P267" s="1078" t="str">
        <f t="shared" si="18"/>
        <v/>
      </c>
      <c r="Q267" s="1659"/>
      <c r="R267" s="1659"/>
      <c r="S267" s="1078" t="str">
        <f t="shared" si="19"/>
        <v/>
      </c>
      <c r="T267" s="1661"/>
      <c r="U267" s="1659"/>
      <c r="V267" s="1078" t="str">
        <f t="shared" si="20"/>
        <v/>
      </c>
      <c r="W267" s="1016"/>
      <c r="X267" s="1016"/>
      <c r="Y267" s="1016"/>
      <c r="Z267" s="1016"/>
      <c r="AA267" s="1016"/>
      <c r="AB267" s="1016"/>
      <c r="AC267" s="1016"/>
      <c r="AD267" s="1016"/>
      <c r="AE267" s="1016"/>
      <c r="AF267" s="1016"/>
      <c r="AG267" s="1016"/>
      <c r="AH267" s="1016"/>
      <c r="AI267" s="1016"/>
      <c r="AJ267" s="1016"/>
      <c r="AK267" s="1016"/>
      <c r="AL267" s="1016"/>
      <c r="AM267" s="1016"/>
      <c r="AN267" s="1016"/>
      <c r="AO267" s="1016"/>
      <c r="AP267" s="1016"/>
      <c r="AQ267" s="1016"/>
      <c r="AR267" s="1016"/>
      <c r="AS267" s="1016"/>
      <c r="AT267" s="1016"/>
      <c r="AU267" s="1016"/>
      <c r="AV267" s="1016"/>
      <c r="AW267" s="1016"/>
    </row>
    <row r="268" spans="2:49" x14ac:dyDescent="0.2">
      <c r="B268" s="1029"/>
      <c r="C268" s="1030"/>
      <c r="D268" s="1029"/>
      <c r="E268" s="1032"/>
      <c r="F268" s="1032"/>
      <c r="G268" s="1020"/>
      <c r="H268" s="1659"/>
      <c r="I268" s="1659"/>
      <c r="J268" s="1077" t="str">
        <f t="shared" si="16"/>
        <v/>
      </c>
      <c r="K268" s="1659"/>
      <c r="L268" s="1659"/>
      <c r="M268" s="1078" t="str">
        <f t="shared" si="17"/>
        <v/>
      </c>
      <c r="N268" s="1659"/>
      <c r="O268" s="1659"/>
      <c r="P268" s="1078" t="str">
        <f t="shared" si="18"/>
        <v/>
      </c>
      <c r="Q268" s="1659"/>
      <c r="R268" s="1659"/>
      <c r="S268" s="1078" t="str">
        <f t="shared" si="19"/>
        <v/>
      </c>
      <c r="T268" s="1661"/>
      <c r="U268" s="1659"/>
      <c r="V268" s="1078" t="str">
        <f t="shared" si="20"/>
        <v/>
      </c>
      <c r="W268" s="1016"/>
      <c r="X268" s="1016"/>
      <c r="Y268" s="1016"/>
      <c r="Z268" s="1016"/>
      <c r="AA268" s="1016"/>
      <c r="AB268" s="1016"/>
      <c r="AC268" s="1016"/>
      <c r="AD268" s="1016"/>
      <c r="AE268" s="1016"/>
      <c r="AF268" s="1016"/>
      <c r="AG268" s="1016"/>
      <c r="AH268" s="1016"/>
      <c r="AI268" s="1016"/>
      <c r="AJ268" s="1016"/>
      <c r="AK268" s="1016"/>
      <c r="AL268" s="1016"/>
      <c r="AM268" s="1016"/>
      <c r="AN268" s="1016"/>
      <c r="AO268" s="1016"/>
      <c r="AP268" s="1016"/>
      <c r="AQ268" s="1016"/>
      <c r="AR268" s="1016"/>
      <c r="AS268" s="1016"/>
      <c r="AT268" s="1016"/>
      <c r="AU268" s="1016"/>
      <c r="AV268" s="1016"/>
      <c r="AW268" s="1016"/>
    </row>
    <row r="269" spans="2:49" x14ac:dyDescent="0.2">
      <c r="B269" s="1029"/>
      <c r="C269" s="1030"/>
      <c r="D269" s="1029"/>
      <c r="E269" s="1032"/>
      <c r="F269" s="1032"/>
      <c r="G269" s="1020"/>
      <c r="H269" s="1659"/>
      <c r="I269" s="1659"/>
      <c r="J269" s="1077" t="str">
        <f t="shared" si="16"/>
        <v/>
      </c>
      <c r="K269" s="1659"/>
      <c r="L269" s="1659"/>
      <c r="M269" s="1078" t="str">
        <f t="shared" si="17"/>
        <v/>
      </c>
      <c r="N269" s="1659"/>
      <c r="O269" s="1659"/>
      <c r="P269" s="1078" t="str">
        <f t="shared" si="18"/>
        <v/>
      </c>
      <c r="Q269" s="1659"/>
      <c r="R269" s="1659"/>
      <c r="S269" s="1078" t="str">
        <f t="shared" si="19"/>
        <v/>
      </c>
      <c r="T269" s="1661"/>
      <c r="U269" s="1659"/>
      <c r="V269" s="1078" t="str">
        <f t="shared" si="20"/>
        <v/>
      </c>
      <c r="W269" s="1016"/>
      <c r="X269" s="1016"/>
      <c r="Y269" s="1016"/>
      <c r="Z269" s="1016"/>
      <c r="AA269" s="1016"/>
      <c r="AB269" s="1016"/>
      <c r="AC269" s="1016"/>
      <c r="AD269" s="1016"/>
      <c r="AE269" s="1016"/>
      <c r="AF269" s="1016"/>
      <c r="AG269" s="1016"/>
      <c r="AH269" s="1016"/>
      <c r="AI269" s="1016"/>
      <c r="AJ269" s="1016"/>
      <c r="AK269" s="1016"/>
      <c r="AL269" s="1016"/>
      <c r="AM269" s="1016"/>
      <c r="AN269" s="1016"/>
      <c r="AO269" s="1016"/>
      <c r="AP269" s="1016"/>
      <c r="AQ269" s="1016"/>
      <c r="AR269" s="1016"/>
      <c r="AS269" s="1016"/>
      <c r="AT269" s="1016"/>
      <c r="AU269" s="1016"/>
      <c r="AV269" s="1016"/>
      <c r="AW269" s="1016"/>
    </row>
    <row r="270" spans="2:49" x14ac:dyDescent="0.2">
      <c r="B270" s="1029"/>
      <c r="C270" s="1030"/>
      <c r="D270" s="1029"/>
      <c r="E270" s="1032"/>
      <c r="F270" s="1032"/>
      <c r="G270" s="1020"/>
      <c r="H270" s="1659"/>
      <c r="I270" s="1659"/>
      <c r="J270" s="1077" t="str">
        <f t="shared" si="16"/>
        <v/>
      </c>
      <c r="K270" s="1659"/>
      <c r="L270" s="1659"/>
      <c r="M270" s="1078" t="str">
        <f t="shared" si="17"/>
        <v/>
      </c>
      <c r="N270" s="1659"/>
      <c r="O270" s="1659"/>
      <c r="P270" s="1078" t="str">
        <f t="shared" si="18"/>
        <v/>
      </c>
      <c r="Q270" s="1659"/>
      <c r="R270" s="1659"/>
      <c r="S270" s="1078" t="str">
        <f t="shared" si="19"/>
        <v/>
      </c>
      <c r="T270" s="1661"/>
      <c r="U270" s="1659"/>
      <c r="V270" s="1078" t="str">
        <f t="shared" si="20"/>
        <v/>
      </c>
      <c r="W270" s="1016"/>
      <c r="X270" s="1016"/>
      <c r="Y270" s="1016"/>
      <c r="Z270" s="1016"/>
      <c r="AA270" s="1016"/>
      <c r="AB270" s="1016"/>
      <c r="AC270" s="1016"/>
      <c r="AD270" s="1016"/>
      <c r="AE270" s="1016"/>
      <c r="AF270" s="1016"/>
      <c r="AG270" s="1016"/>
      <c r="AH270" s="1016"/>
      <c r="AI270" s="1016"/>
      <c r="AJ270" s="1016"/>
      <c r="AK270" s="1016"/>
      <c r="AL270" s="1016"/>
      <c r="AM270" s="1016"/>
      <c r="AN270" s="1016"/>
      <c r="AO270" s="1016"/>
      <c r="AP270" s="1016"/>
      <c r="AQ270" s="1016"/>
      <c r="AR270" s="1016"/>
      <c r="AS270" s="1016"/>
      <c r="AT270" s="1016"/>
      <c r="AU270" s="1016"/>
      <c r="AV270" s="1016"/>
      <c r="AW270" s="1016"/>
    </row>
    <row r="271" spans="2:49" x14ac:dyDescent="0.2">
      <c r="B271" s="1029"/>
      <c r="C271" s="1030"/>
      <c r="D271" s="1029"/>
      <c r="E271" s="1032"/>
      <c r="F271" s="1032"/>
      <c r="G271" s="1020"/>
      <c r="H271" s="1659"/>
      <c r="I271" s="1659"/>
      <c r="J271" s="1077" t="str">
        <f t="shared" si="16"/>
        <v/>
      </c>
      <c r="K271" s="1659"/>
      <c r="L271" s="1659"/>
      <c r="M271" s="1078" t="str">
        <f t="shared" si="17"/>
        <v/>
      </c>
      <c r="N271" s="1659"/>
      <c r="O271" s="1659"/>
      <c r="P271" s="1078" t="str">
        <f t="shared" si="18"/>
        <v/>
      </c>
      <c r="Q271" s="1659"/>
      <c r="R271" s="1659"/>
      <c r="S271" s="1078" t="str">
        <f t="shared" si="19"/>
        <v/>
      </c>
      <c r="T271" s="1661"/>
      <c r="U271" s="1659"/>
      <c r="V271" s="1078" t="str">
        <f t="shared" si="20"/>
        <v/>
      </c>
      <c r="W271" s="1016"/>
      <c r="X271" s="1016"/>
      <c r="Y271" s="1016"/>
      <c r="Z271" s="1016"/>
      <c r="AA271" s="1016"/>
      <c r="AB271" s="1016"/>
      <c r="AC271" s="1016"/>
      <c r="AD271" s="1016"/>
      <c r="AE271" s="1016"/>
      <c r="AF271" s="1016"/>
      <c r="AG271" s="1016"/>
      <c r="AH271" s="1016"/>
      <c r="AI271" s="1016"/>
      <c r="AJ271" s="1016"/>
      <c r="AK271" s="1016"/>
      <c r="AL271" s="1016"/>
      <c r="AM271" s="1016"/>
      <c r="AN271" s="1016"/>
      <c r="AO271" s="1016"/>
      <c r="AP271" s="1016"/>
      <c r="AQ271" s="1016"/>
      <c r="AR271" s="1016"/>
      <c r="AS271" s="1016"/>
      <c r="AT271" s="1016"/>
      <c r="AU271" s="1016"/>
      <c r="AV271" s="1016"/>
      <c r="AW271" s="1016"/>
    </row>
    <row r="272" spans="2:49" x14ac:dyDescent="0.2">
      <c r="B272" s="1029"/>
      <c r="C272" s="1030"/>
      <c r="D272" s="1029"/>
      <c r="E272" s="1032"/>
      <c r="F272" s="1032"/>
      <c r="G272" s="1020"/>
      <c r="H272" s="1659"/>
      <c r="I272" s="1659"/>
      <c r="J272" s="1077" t="str">
        <f t="shared" si="16"/>
        <v/>
      </c>
      <c r="K272" s="1659"/>
      <c r="L272" s="1659"/>
      <c r="M272" s="1078" t="str">
        <f t="shared" si="17"/>
        <v/>
      </c>
      <c r="N272" s="1659"/>
      <c r="O272" s="1659"/>
      <c r="P272" s="1078" t="str">
        <f t="shared" si="18"/>
        <v/>
      </c>
      <c r="Q272" s="1659"/>
      <c r="R272" s="1659"/>
      <c r="S272" s="1078" t="str">
        <f t="shared" si="19"/>
        <v/>
      </c>
      <c r="T272" s="1661"/>
      <c r="U272" s="1659"/>
      <c r="V272" s="1078" t="str">
        <f t="shared" si="20"/>
        <v/>
      </c>
      <c r="W272" s="1016"/>
      <c r="X272" s="1016"/>
      <c r="Y272" s="1016"/>
      <c r="Z272" s="1016"/>
      <c r="AA272" s="1016"/>
      <c r="AB272" s="1016"/>
      <c r="AC272" s="1016"/>
      <c r="AD272" s="1016"/>
      <c r="AE272" s="1016"/>
      <c r="AF272" s="1016"/>
      <c r="AG272" s="1016"/>
      <c r="AH272" s="1016"/>
      <c r="AI272" s="1016"/>
      <c r="AJ272" s="1016"/>
      <c r="AK272" s="1016"/>
      <c r="AL272" s="1016"/>
      <c r="AM272" s="1016"/>
      <c r="AN272" s="1016"/>
      <c r="AO272" s="1016"/>
      <c r="AP272" s="1016"/>
      <c r="AQ272" s="1016"/>
      <c r="AR272" s="1016"/>
      <c r="AS272" s="1016"/>
      <c r="AT272" s="1016"/>
      <c r="AU272" s="1016"/>
      <c r="AV272" s="1016"/>
      <c r="AW272" s="1016"/>
    </row>
    <row r="273" spans="2:49" x14ac:dyDescent="0.2">
      <c r="B273" s="1029"/>
      <c r="C273" s="1030"/>
      <c r="D273" s="1029"/>
      <c r="E273" s="1035"/>
      <c r="F273" s="1035"/>
      <c r="G273" s="1020"/>
      <c r="H273" s="1659"/>
      <c r="I273" s="1659"/>
      <c r="J273" s="1077" t="str">
        <f t="shared" si="16"/>
        <v/>
      </c>
      <c r="K273" s="1659"/>
      <c r="L273" s="1659"/>
      <c r="M273" s="1078" t="str">
        <f t="shared" si="17"/>
        <v/>
      </c>
      <c r="N273" s="1659"/>
      <c r="O273" s="1659"/>
      <c r="P273" s="1078" t="str">
        <f t="shared" si="18"/>
        <v/>
      </c>
      <c r="Q273" s="1659"/>
      <c r="R273" s="1659"/>
      <c r="S273" s="1078" t="str">
        <f t="shared" si="19"/>
        <v/>
      </c>
      <c r="T273" s="1661"/>
      <c r="U273" s="1659"/>
      <c r="V273" s="1078" t="str">
        <f t="shared" si="20"/>
        <v/>
      </c>
      <c r="W273" s="1016"/>
      <c r="X273" s="1016"/>
      <c r="Y273" s="1016"/>
      <c r="Z273" s="1016"/>
      <c r="AA273" s="1016"/>
      <c r="AB273" s="1016"/>
      <c r="AC273" s="1016"/>
      <c r="AD273" s="1016"/>
      <c r="AE273" s="1016"/>
      <c r="AF273" s="1016"/>
      <c r="AG273" s="1016"/>
      <c r="AH273" s="1016"/>
      <c r="AI273" s="1016"/>
      <c r="AJ273" s="1016"/>
      <c r="AK273" s="1016"/>
      <c r="AL273" s="1016"/>
      <c r="AM273" s="1016"/>
      <c r="AN273" s="1016"/>
      <c r="AO273" s="1016"/>
      <c r="AP273" s="1016"/>
      <c r="AQ273" s="1016"/>
      <c r="AR273" s="1016"/>
      <c r="AS273" s="1016"/>
      <c r="AT273" s="1016"/>
      <c r="AU273" s="1016"/>
      <c r="AV273" s="1016"/>
      <c r="AW273" s="1016"/>
    </row>
    <row r="274" spans="2:49" x14ac:dyDescent="0.2">
      <c r="B274" s="1029"/>
      <c r="C274" s="1030"/>
      <c r="D274" s="1029"/>
      <c r="E274" s="1035"/>
      <c r="F274" s="1035"/>
      <c r="G274" s="1020"/>
      <c r="H274" s="1659"/>
      <c r="I274" s="1659"/>
      <c r="J274" s="1077" t="str">
        <f t="shared" si="16"/>
        <v/>
      </c>
      <c r="K274" s="1659"/>
      <c r="L274" s="1659"/>
      <c r="M274" s="1078" t="str">
        <f t="shared" si="17"/>
        <v/>
      </c>
      <c r="N274" s="1659"/>
      <c r="O274" s="1659"/>
      <c r="P274" s="1078" t="str">
        <f t="shared" si="18"/>
        <v/>
      </c>
      <c r="Q274" s="1659"/>
      <c r="R274" s="1659"/>
      <c r="S274" s="1078" t="str">
        <f t="shared" si="19"/>
        <v/>
      </c>
      <c r="T274" s="1661"/>
      <c r="U274" s="1659"/>
      <c r="V274" s="1078" t="str">
        <f t="shared" si="20"/>
        <v/>
      </c>
      <c r="W274" s="1016"/>
      <c r="X274" s="1016"/>
      <c r="Y274" s="1016"/>
      <c r="Z274" s="1016"/>
      <c r="AA274" s="1016"/>
      <c r="AB274" s="1016"/>
      <c r="AC274" s="1016"/>
      <c r="AD274" s="1016"/>
      <c r="AE274" s="1016"/>
      <c r="AF274" s="1016"/>
      <c r="AG274" s="1016"/>
      <c r="AH274" s="1016"/>
      <c r="AI274" s="1016"/>
      <c r="AJ274" s="1016"/>
      <c r="AK274" s="1016"/>
      <c r="AL274" s="1016"/>
      <c r="AM274" s="1016"/>
      <c r="AN274" s="1016"/>
      <c r="AO274" s="1016"/>
      <c r="AP274" s="1016"/>
      <c r="AQ274" s="1016"/>
      <c r="AR274" s="1016"/>
      <c r="AS274" s="1016"/>
      <c r="AT274" s="1016"/>
      <c r="AU274" s="1016"/>
      <c r="AV274" s="1016"/>
      <c r="AW274" s="1016"/>
    </row>
    <row r="275" spans="2:49" x14ac:dyDescent="0.2">
      <c r="B275" s="1029"/>
      <c r="C275" s="1030"/>
      <c r="D275" s="1029"/>
      <c r="E275" s="1035"/>
      <c r="F275" s="1035"/>
      <c r="G275" s="1020"/>
      <c r="H275" s="1659"/>
      <c r="I275" s="1659"/>
      <c r="J275" s="1077" t="str">
        <f t="shared" si="16"/>
        <v/>
      </c>
      <c r="K275" s="1659"/>
      <c r="L275" s="1659"/>
      <c r="M275" s="1078" t="str">
        <f t="shared" si="17"/>
        <v/>
      </c>
      <c r="N275" s="1659"/>
      <c r="O275" s="1659"/>
      <c r="P275" s="1078" t="str">
        <f t="shared" si="18"/>
        <v/>
      </c>
      <c r="Q275" s="1659"/>
      <c r="R275" s="1659"/>
      <c r="S275" s="1078" t="str">
        <f t="shared" si="19"/>
        <v/>
      </c>
      <c r="T275" s="1661"/>
      <c r="U275" s="1659"/>
      <c r="V275" s="1078" t="str">
        <f t="shared" si="20"/>
        <v/>
      </c>
      <c r="W275" s="1016"/>
      <c r="X275" s="1016"/>
      <c r="Y275" s="1016"/>
      <c r="Z275" s="1016"/>
      <c r="AA275" s="1016"/>
      <c r="AB275" s="1016"/>
      <c r="AC275" s="1016"/>
      <c r="AD275" s="1016"/>
      <c r="AE275" s="1016"/>
      <c r="AF275" s="1016"/>
      <c r="AG275" s="1016"/>
      <c r="AH275" s="1016"/>
      <c r="AI275" s="1016"/>
      <c r="AJ275" s="1016"/>
      <c r="AK275" s="1016"/>
      <c r="AL275" s="1016"/>
      <c r="AM275" s="1016"/>
      <c r="AN275" s="1016"/>
      <c r="AO275" s="1016"/>
      <c r="AP275" s="1016"/>
      <c r="AQ275" s="1016"/>
      <c r="AR275" s="1016"/>
      <c r="AS275" s="1016"/>
      <c r="AT275" s="1016"/>
      <c r="AU275" s="1016"/>
      <c r="AV275" s="1016"/>
      <c r="AW275" s="1016"/>
    </row>
    <row r="276" spans="2:49" x14ac:dyDescent="0.2">
      <c r="B276" s="1029"/>
      <c r="C276" s="1030"/>
      <c r="D276" s="1029"/>
      <c r="E276" s="1035"/>
      <c r="F276" s="1035"/>
      <c r="G276" s="1020"/>
      <c r="H276" s="1659"/>
      <c r="I276" s="1659"/>
      <c r="J276" s="1077" t="str">
        <f t="shared" si="16"/>
        <v/>
      </c>
      <c r="K276" s="1659"/>
      <c r="L276" s="1659"/>
      <c r="M276" s="1078" t="str">
        <f t="shared" si="17"/>
        <v/>
      </c>
      <c r="N276" s="1659"/>
      <c r="O276" s="1659"/>
      <c r="P276" s="1078" t="str">
        <f t="shared" si="18"/>
        <v/>
      </c>
      <c r="Q276" s="1659"/>
      <c r="R276" s="1659"/>
      <c r="S276" s="1078" t="str">
        <f t="shared" si="19"/>
        <v/>
      </c>
      <c r="T276" s="1661"/>
      <c r="U276" s="1659"/>
      <c r="V276" s="1078" t="str">
        <f t="shared" si="20"/>
        <v/>
      </c>
      <c r="W276" s="1016"/>
      <c r="X276" s="1016"/>
      <c r="Y276" s="1016"/>
      <c r="Z276" s="1016"/>
      <c r="AA276" s="1016"/>
      <c r="AB276" s="1016"/>
      <c r="AC276" s="1016"/>
      <c r="AD276" s="1016"/>
      <c r="AE276" s="1016"/>
      <c r="AF276" s="1016"/>
      <c r="AG276" s="1016"/>
      <c r="AH276" s="1016"/>
      <c r="AI276" s="1016"/>
      <c r="AJ276" s="1016"/>
      <c r="AK276" s="1016"/>
      <c r="AL276" s="1016"/>
      <c r="AM276" s="1016"/>
      <c r="AN276" s="1016"/>
      <c r="AO276" s="1016"/>
      <c r="AP276" s="1016"/>
      <c r="AQ276" s="1016"/>
      <c r="AR276" s="1016"/>
      <c r="AS276" s="1016"/>
      <c r="AT276" s="1016"/>
      <c r="AU276" s="1016"/>
      <c r="AV276" s="1016"/>
      <c r="AW276" s="1016"/>
    </row>
    <row r="277" spans="2:49" x14ac:dyDescent="0.2">
      <c r="B277" s="1029"/>
      <c r="C277" s="1030"/>
      <c r="D277" s="1029"/>
      <c r="E277" s="1035"/>
      <c r="F277" s="1035"/>
      <c r="G277" s="1020"/>
      <c r="H277" s="1659"/>
      <c r="I277" s="1659"/>
      <c r="J277" s="1077" t="str">
        <f t="shared" si="16"/>
        <v/>
      </c>
      <c r="K277" s="1659"/>
      <c r="L277" s="1659"/>
      <c r="M277" s="1078" t="str">
        <f t="shared" si="17"/>
        <v/>
      </c>
      <c r="N277" s="1659"/>
      <c r="O277" s="1659"/>
      <c r="P277" s="1078" t="str">
        <f t="shared" si="18"/>
        <v/>
      </c>
      <c r="Q277" s="1659"/>
      <c r="R277" s="1659"/>
      <c r="S277" s="1078" t="str">
        <f t="shared" si="19"/>
        <v/>
      </c>
      <c r="T277" s="1661"/>
      <c r="U277" s="1659"/>
      <c r="V277" s="1078" t="str">
        <f t="shared" si="20"/>
        <v/>
      </c>
      <c r="W277" s="1016"/>
      <c r="X277" s="1016"/>
      <c r="Y277" s="1016"/>
      <c r="Z277" s="1016"/>
      <c r="AA277" s="1016"/>
      <c r="AB277" s="1016"/>
      <c r="AC277" s="1016"/>
      <c r="AD277" s="1016"/>
      <c r="AE277" s="1016"/>
      <c r="AF277" s="1016"/>
      <c r="AG277" s="1016"/>
      <c r="AH277" s="1016"/>
      <c r="AI277" s="1016"/>
      <c r="AJ277" s="1016"/>
      <c r="AK277" s="1016"/>
      <c r="AL277" s="1016"/>
      <c r="AM277" s="1016"/>
      <c r="AN277" s="1016"/>
      <c r="AO277" s="1016"/>
      <c r="AP277" s="1016"/>
      <c r="AQ277" s="1016"/>
      <c r="AR277" s="1016"/>
      <c r="AS277" s="1016"/>
      <c r="AT277" s="1016"/>
      <c r="AU277" s="1016"/>
      <c r="AV277" s="1016"/>
      <c r="AW277" s="1016"/>
    </row>
    <row r="278" spans="2:49" x14ac:dyDescent="0.2">
      <c r="B278" s="1029"/>
      <c r="C278" s="1030"/>
      <c r="D278" s="1029"/>
      <c r="E278" s="1035"/>
      <c r="F278" s="1035"/>
      <c r="G278" s="1020"/>
      <c r="H278" s="1659"/>
      <c r="I278" s="1659"/>
      <c r="J278" s="1077" t="str">
        <f t="shared" si="16"/>
        <v/>
      </c>
      <c r="K278" s="1659"/>
      <c r="L278" s="1659"/>
      <c r="M278" s="1078" t="str">
        <f t="shared" si="17"/>
        <v/>
      </c>
      <c r="N278" s="1659"/>
      <c r="O278" s="1659"/>
      <c r="P278" s="1078" t="str">
        <f t="shared" si="18"/>
        <v/>
      </c>
      <c r="Q278" s="1659"/>
      <c r="R278" s="1659"/>
      <c r="S278" s="1078" t="str">
        <f t="shared" si="19"/>
        <v/>
      </c>
      <c r="T278" s="1661"/>
      <c r="U278" s="1659"/>
      <c r="V278" s="1078" t="str">
        <f t="shared" si="20"/>
        <v/>
      </c>
      <c r="W278" s="1016"/>
      <c r="X278" s="1016"/>
      <c r="Y278" s="1016"/>
      <c r="Z278" s="1016"/>
      <c r="AA278" s="1016"/>
      <c r="AB278" s="1016"/>
      <c r="AC278" s="1016"/>
      <c r="AD278" s="1016"/>
      <c r="AE278" s="1016"/>
      <c r="AF278" s="1016"/>
      <c r="AG278" s="1016"/>
      <c r="AH278" s="1016"/>
      <c r="AI278" s="1016"/>
      <c r="AJ278" s="1016"/>
      <c r="AK278" s="1016"/>
      <c r="AL278" s="1016"/>
      <c r="AM278" s="1016"/>
      <c r="AN278" s="1016"/>
      <c r="AO278" s="1016"/>
      <c r="AP278" s="1016"/>
      <c r="AQ278" s="1016"/>
      <c r="AR278" s="1016"/>
      <c r="AS278" s="1016"/>
      <c r="AT278" s="1016"/>
      <c r="AU278" s="1016"/>
      <c r="AV278" s="1016"/>
      <c r="AW278" s="1016"/>
    </row>
    <row r="279" spans="2:49" x14ac:dyDescent="0.2">
      <c r="B279" s="1029"/>
      <c r="C279" s="1030"/>
      <c r="D279" s="1029"/>
      <c r="E279" s="1035"/>
      <c r="F279" s="1035"/>
      <c r="G279" s="1020"/>
      <c r="H279" s="1659"/>
      <c r="I279" s="1659"/>
      <c r="J279" s="1077" t="str">
        <f t="shared" si="16"/>
        <v/>
      </c>
      <c r="K279" s="1659"/>
      <c r="L279" s="1659"/>
      <c r="M279" s="1078" t="str">
        <f t="shared" si="17"/>
        <v/>
      </c>
      <c r="N279" s="1659"/>
      <c r="O279" s="1659"/>
      <c r="P279" s="1078" t="str">
        <f t="shared" si="18"/>
        <v/>
      </c>
      <c r="Q279" s="1659"/>
      <c r="R279" s="1659"/>
      <c r="S279" s="1078" t="str">
        <f t="shared" si="19"/>
        <v/>
      </c>
      <c r="T279" s="1661"/>
      <c r="U279" s="1659"/>
      <c r="V279" s="1078" t="str">
        <f t="shared" si="20"/>
        <v/>
      </c>
      <c r="W279" s="1016"/>
      <c r="X279" s="1016"/>
      <c r="Y279" s="1016"/>
      <c r="Z279" s="1016"/>
      <c r="AA279" s="1016"/>
      <c r="AB279" s="1016"/>
      <c r="AC279" s="1016"/>
      <c r="AD279" s="1016"/>
      <c r="AE279" s="1016"/>
      <c r="AF279" s="1016"/>
      <c r="AG279" s="1016"/>
      <c r="AH279" s="1016"/>
      <c r="AI279" s="1016"/>
      <c r="AJ279" s="1016"/>
      <c r="AK279" s="1016"/>
      <c r="AL279" s="1016"/>
      <c r="AM279" s="1016"/>
      <c r="AN279" s="1016"/>
      <c r="AO279" s="1016"/>
      <c r="AP279" s="1016"/>
      <c r="AQ279" s="1016"/>
      <c r="AR279" s="1016"/>
      <c r="AS279" s="1016"/>
      <c r="AT279" s="1016"/>
      <c r="AU279" s="1016"/>
      <c r="AV279" s="1016"/>
      <c r="AW279" s="1016"/>
    </row>
    <row r="280" spans="2:49" x14ac:dyDescent="0.2">
      <c r="B280" s="1029"/>
      <c r="C280" s="1030"/>
      <c r="D280" s="1029"/>
      <c r="E280" s="1035"/>
      <c r="F280" s="1035"/>
      <c r="G280" s="1020"/>
      <c r="H280" s="1659"/>
      <c r="I280" s="1659"/>
      <c r="J280" s="1077" t="str">
        <f t="shared" si="16"/>
        <v/>
      </c>
      <c r="K280" s="1659"/>
      <c r="L280" s="1659"/>
      <c r="M280" s="1078" t="str">
        <f t="shared" si="17"/>
        <v/>
      </c>
      <c r="N280" s="1659"/>
      <c r="O280" s="1659"/>
      <c r="P280" s="1078" t="str">
        <f t="shared" si="18"/>
        <v/>
      </c>
      <c r="Q280" s="1659"/>
      <c r="R280" s="1659"/>
      <c r="S280" s="1078" t="str">
        <f t="shared" si="19"/>
        <v/>
      </c>
      <c r="T280" s="1661"/>
      <c r="U280" s="1659"/>
      <c r="V280" s="1078" t="str">
        <f t="shared" si="20"/>
        <v/>
      </c>
      <c r="W280" s="1016"/>
      <c r="X280" s="1016"/>
      <c r="Y280" s="1016"/>
      <c r="Z280" s="1016"/>
      <c r="AA280" s="1016"/>
      <c r="AB280" s="1016"/>
      <c r="AC280" s="1016"/>
      <c r="AD280" s="1016"/>
      <c r="AE280" s="1016"/>
      <c r="AF280" s="1016"/>
      <c r="AG280" s="1016"/>
      <c r="AH280" s="1016"/>
      <c r="AI280" s="1016"/>
      <c r="AJ280" s="1016"/>
      <c r="AK280" s="1016"/>
      <c r="AL280" s="1016"/>
      <c r="AM280" s="1016"/>
      <c r="AN280" s="1016"/>
      <c r="AO280" s="1016"/>
      <c r="AP280" s="1016"/>
      <c r="AQ280" s="1016"/>
      <c r="AR280" s="1016"/>
      <c r="AS280" s="1016"/>
      <c r="AT280" s="1016"/>
      <c r="AU280" s="1016"/>
      <c r="AV280" s="1016"/>
      <c r="AW280" s="1016"/>
    </row>
    <row r="281" spans="2:49" x14ac:dyDescent="0.2">
      <c r="B281" s="1029"/>
      <c r="C281" s="1030"/>
      <c r="D281" s="1029"/>
      <c r="E281" s="1035"/>
      <c r="F281" s="1035"/>
      <c r="G281" s="1020"/>
      <c r="H281" s="1659"/>
      <c r="I281" s="1659"/>
      <c r="J281" s="1077" t="str">
        <f t="shared" si="16"/>
        <v/>
      </c>
      <c r="K281" s="1659"/>
      <c r="L281" s="1659"/>
      <c r="M281" s="1078" t="str">
        <f t="shared" si="17"/>
        <v/>
      </c>
      <c r="N281" s="1659"/>
      <c r="O281" s="1659"/>
      <c r="P281" s="1078" t="str">
        <f t="shared" si="18"/>
        <v/>
      </c>
      <c r="Q281" s="1659"/>
      <c r="R281" s="1659"/>
      <c r="S281" s="1078" t="str">
        <f t="shared" si="19"/>
        <v/>
      </c>
      <c r="T281" s="1661"/>
      <c r="U281" s="1659"/>
      <c r="V281" s="1078" t="str">
        <f t="shared" si="20"/>
        <v/>
      </c>
      <c r="W281" s="1016"/>
      <c r="X281" s="1016"/>
      <c r="Y281" s="1016"/>
      <c r="Z281" s="1016"/>
      <c r="AA281" s="1016"/>
      <c r="AB281" s="1016"/>
      <c r="AC281" s="1016"/>
      <c r="AD281" s="1016"/>
      <c r="AE281" s="1016"/>
      <c r="AF281" s="1016"/>
      <c r="AG281" s="1016"/>
      <c r="AH281" s="1016"/>
      <c r="AI281" s="1016"/>
      <c r="AJ281" s="1016"/>
      <c r="AK281" s="1016"/>
      <c r="AL281" s="1016"/>
      <c r="AM281" s="1016"/>
      <c r="AN281" s="1016"/>
      <c r="AO281" s="1016"/>
      <c r="AP281" s="1016"/>
      <c r="AQ281" s="1016"/>
      <c r="AR281" s="1016"/>
      <c r="AS281" s="1016"/>
      <c r="AT281" s="1016"/>
      <c r="AU281" s="1016"/>
      <c r="AV281" s="1016"/>
      <c r="AW281" s="1016"/>
    </row>
    <row r="282" spans="2:49" x14ac:dyDescent="0.2">
      <c r="B282" s="1029"/>
      <c r="C282" s="1030"/>
      <c r="D282" s="1029"/>
      <c r="E282" s="1035"/>
      <c r="F282" s="1035"/>
      <c r="G282" s="1020"/>
      <c r="H282" s="1659"/>
      <c r="I282" s="1659"/>
      <c r="J282" s="1077" t="str">
        <f t="shared" ref="J282:J345" si="21">IF(AND(H282=0,I282=0),"",IF(I282&lt;&gt;0,IF(I282&gt;H282,100,I282/H282*100),0))</f>
        <v/>
      </c>
      <c r="K282" s="1659"/>
      <c r="L282" s="1659"/>
      <c r="M282" s="1078" t="str">
        <f t="shared" ref="M282:M345" si="22">IF(AND(K282=0,L282=0),"",IF(L282&lt;&gt;0,IF(L282&gt;K282,100,L282/K282*100),0))</f>
        <v/>
      </c>
      <c r="N282" s="1659"/>
      <c r="O282" s="1659"/>
      <c r="P282" s="1078" t="str">
        <f t="shared" ref="P282:P345" si="23">IF(AND(N282=0,O282=0),"",IF(O282&lt;&gt;0,IF(O282&gt;N282,100,O282/N282*100),0))</f>
        <v/>
      </c>
      <c r="Q282" s="1659"/>
      <c r="R282" s="1659"/>
      <c r="S282" s="1078" t="str">
        <f t="shared" ref="S282:S345" si="24">IF(AND(Q282=0,R282=0),"",IF(R282&lt;&gt;0,IF(R282&lt;=Q282,100,100-(R282-Q282)),0))</f>
        <v/>
      </c>
      <c r="T282" s="1661"/>
      <c r="U282" s="1659"/>
      <c r="V282" s="1078" t="str">
        <f t="shared" ref="V282:V345" si="25">IF(AND(T282=0,U282=0),"",IF(U282&lt;&gt;0,IF(U282&gt;T282,100,U282/T282*100),0))</f>
        <v/>
      </c>
      <c r="W282" s="1016"/>
      <c r="X282" s="1016"/>
      <c r="Y282" s="1016"/>
      <c r="Z282" s="1016"/>
      <c r="AA282" s="1016"/>
      <c r="AB282" s="1016"/>
      <c r="AC282" s="1016"/>
      <c r="AD282" s="1016"/>
      <c r="AE282" s="1016"/>
      <c r="AF282" s="1016"/>
      <c r="AG282" s="1016"/>
      <c r="AH282" s="1016"/>
      <c r="AI282" s="1016"/>
      <c r="AJ282" s="1016"/>
      <c r="AK282" s="1016"/>
      <c r="AL282" s="1016"/>
      <c r="AM282" s="1016"/>
      <c r="AN282" s="1016"/>
      <c r="AO282" s="1016"/>
      <c r="AP282" s="1016"/>
      <c r="AQ282" s="1016"/>
      <c r="AR282" s="1016"/>
      <c r="AS282" s="1016"/>
      <c r="AT282" s="1016"/>
      <c r="AU282" s="1016"/>
      <c r="AV282" s="1016"/>
      <c r="AW282" s="1016"/>
    </row>
    <row r="283" spans="2:49" x14ac:dyDescent="0.2">
      <c r="B283" s="1029"/>
      <c r="C283" s="1030"/>
      <c r="D283" s="1029"/>
      <c r="E283" s="1036"/>
      <c r="F283" s="1036"/>
      <c r="G283" s="1020"/>
      <c r="H283" s="1659"/>
      <c r="I283" s="1659"/>
      <c r="J283" s="1077" t="str">
        <f t="shared" si="21"/>
        <v/>
      </c>
      <c r="K283" s="1659"/>
      <c r="L283" s="1659"/>
      <c r="M283" s="1078" t="str">
        <f t="shared" si="22"/>
        <v/>
      </c>
      <c r="N283" s="1659"/>
      <c r="O283" s="1659"/>
      <c r="P283" s="1078" t="str">
        <f t="shared" si="23"/>
        <v/>
      </c>
      <c r="Q283" s="1659"/>
      <c r="R283" s="1659"/>
      <c r="S283" s="1078" t="str">
        <f t="shared" si="24"/>
        <v/>
      </c>
      <c r="T283" s="1661"/>
      <c r="U283" s="1659"/>
      <c r="V283" s="1078" t="str">
        <f t="shared" si="25"/>
        <v/>
      </c>
      <c r="W283" s="1016"/>
      <c r="X283" s="1016"/>
      <c r="Y283" s="1016"/>
      <c r="Z283" s="1016"/>
      <c r="AA283" s="1016"/>
      <c r="AB283" s="1016"/>
      <c r="AC283" s="1016"/>
      <c r="AD283" s="1016"/>
      <c r="AE283" s="1016"/>
      <c r="AF283" s="1016"/>
      <c r="AG283" s="1016"/>
      <c r="AH283" s="1016"/>
      <c r="AI283" s="1016"/>
      <c r="AJ283" s="1016"/>
      <c r="AK283" s="1016"/>
      <c r="AL283" s="1016"/>
      <c r="AM283" s="1016"/>
      <c r="AN283" s="1016"/>
      <c r="AO283" s="1016"/>
      <c r="AP283" s="1016"/>
      <c r="AQ283" s="1016"/>
      <c r="AR283" s="1016"/>
      <c r="AS283" s="1016"/>
      <c r="AT283" s="1016"/>
      <c r="AU283" s="1016"/>
      <c r="AV283" s="1016"/>
      <c r="AW283" s="1016"/>
    </row>
    <row r="284" spans="2:49" x14ac:dyDescent="0.2">
      <c r="B284" s="1029"/>
      <c r="C284" s="1030"/>
      <c r="D284" s="1029"/>
      <c r="E284" s="1036"/>
      <c r="F284" s="1036"/>
      <c r="G284" s="1020"/>
      <c r="H284" s="1659"/>
      <c r="I284" s="1659"/>
      <c r="J284" s="1077" t="str">
        <f t="shared" si="21"/>
        <v/>
      </c>
      <c r="K284" s="1659"/>
      <c r="L284" s="1659"/>
      <c r="M284" s="1078" t="str">
        <f t="shared" si="22"/>
        <v/>
      </c>
      <c r="N284" s="1659"/>
      <c r="O284" s="1659"/>
      <c r="P284" s="1078" t="str">
        <f t="shared" si="23"/>
        <v/>
      </c>
      <c r="Q284" s="1659"/>
      <c r="R284" s="1659"/>
      <c r="S284" s="1078" t="str">
        <f t="shared" si="24"/>
        <v/>
      </c>
      <c r="T284" s="1661"/>
      <c r="U284" s="1659"/>
      <c r="V284" s="1078" t="str">
        <f t="shared" si="25"/>
        <v/>
      </c>
      <c r="W284" s="1016"/>
      <c r="X284" s="1016"/>
      <c r="Y284" s="1016"/>
      <c r="Z284" s="1016"/>
      <c r="AA284" s="1016"/>
      <c r="AB284" s="1016"/>
      <c r="AC284" s="1016"/>
      <c r="AD284" s="1016"/>
      <c r="AE284" s="1016"/>
      <c r="AF284" s="1016"/>
      <c r="AG284" s="1016"/>
      <c r="AH284" s="1016"/>
      <c r="AI284" s="1016"/>
      <c r="AJ284" s="1016"/>
      <c r="AK284" s="1016"/>
      <c r="AL284" s="1016"/>
      <c r="AM284" s="1016"/>
      <c r="AN284" s="1016"/>
      <c r="AO284" s="1016"/>
      <c r="AP284" s="1016"/>
      <c r="AQ284" s="1016"/>
      <c r="AR284" s="1016"/>
      <c r="AS284" s="1016"/>
      <c r="AT284" s="1016"/>
      <c r="AU284" s="1016"/>
      <c r="AV284" s="1016"/>
      <c r="AW284" s="1016"/>
    </row>
    <row r="285" spans="2:49" x14ac:dyDescent="0.2">
      <c r="B285" s="1029"/>
      <c r="C285" s="1030"/>
      <c r="D285" s="1029"/>
      <c r="E285" s="1037"/>
      <c r="F285" s="1037"/>
      <c r="G285" s="1020"/>
      <c r="H285" s="1659"/>
      <c r="I285" s="1659"/>
      <c r="J285" s="1077" t="str">
        <f t="shared" si="21"/>
        <v/>
      </c>
      <c r="K285" s="1659"/>
      <c r="L285" s="1659"/>
      <c r="M285" s="1078" t="str">
        <f t="shared" si="22"/>
        <v/>
      </c>
      <c r="N285" s="1659"/>
      <c r="O285" s="1659"/>
      <c r="P285" s="1078" t="str">
        <f t="shared" si="23"/>
        <v/>
      </c>
      <c r="Q285" s="1659"/>
      <c r="R285" s="1659"/>
      <c r="S285" s="1078" t="str">
        <f t="shared" si="24"/>
        <v/>
      </c>
      <c r="T285" s="1661"/>
      <c r="U285" s="1659"/>
      <c r="V285" s="1078" t="str">
        <f t="shared" si="25"/>
        <v/>
      </c>
      <c r="W285" s="1016"/>
      <c r="X285" s="1016"/>
      <c r="Y285" s="1016"/>
      <c r="Z285" s="1016"/>
      <c r="AA285" s="1016"/>
      <c r="AB285" s="1016"/>
      <c r="AC285" s="1016"/>
      <c r="AD285" s="1016"/>
      <c r="AE285" s="1016"/>
      <c r="AF285" s="1016"/>
      <c r="AG285" s="1016"/>
      <c r="AH285" s="1016"/>
      <c r="AI285" s="1016"/>
      <c r="AJ285" s="1016"/>
      <c r="AK285" s="1016"/>
      <c r="AL285" s="1016"/>
      <c r="AM285" s="1016"/>
      <c r="AN285" s="1016"/>
      <c r="AO285" s="1016"/>
      <c r="AP285" s="1016"/>
      <c r="AQ285" s="1016"/>
      <c r="AR285" s="1016"/>
      <c r="AS285" s="1016"/>
      <c r="AT285" s="1016"/>
      <c r="AU285" s="1016"/>
      <c r="AV285" s="1016"/>
      <c r="AW285" s="1016"/>
    </row>
    <row r="286" spans="2:49" x14ac:dyDescent="0.2">
      <c r="B286" s="1029"/>
      <c r="C286" s="1030"/>
      <c r="D286" s="1029"/>
      <c r="E286" s="1038"/>
      <c r="F286" s="1038"/>
      <c r="G286" s="1020"/>
      <c r="H286" s="1659"/>
      <c r="I286" s="1659"/>
      <c r="J286" s="1077" t="str">
        <f t="shared" si="21"/>
        <v/>
      </c>
      <c r="K286" s="1659"/>
      <c r="L286" s="1659"/>
      <c r="M286" s="1078" t="str">
        <f t="shared" si="22"/>
        <v/>
      </c>
      <c r="N286" s="1659"/>
      <c r="O286" s="1659"/>
      <c r="P286" s="1078" t="str">
        <f t="shared" si="23"/>
        <v/>
      </c>
      <c r="Q286" s="1659"/>
      <c r="R286" s="1659"/>
      <c r="S286" s="1078" t="str">
        <f t="shared" si="24"/>
        <v/>
      </c>
      <c r="T286" s="1661"/>
      <c r="U286" s="1659"/>
      <c r="V286" s="1078" t="str">
        <f t="shared" si="25"/>
        <v/>
      </c>
      <c r="W286" s="1016"/>
      <c r="X286" s="1016"/>
      <c r="Y286" s="1016"/>
      <c r="Z286" s="1016"/>
      <c r="AA286" s="1016"/>
      <c r="AB286" s="1016"/>
      <c r="AC286" s="1016"/>
      <c r="AD286" s="1016"/>
      <c r="AE286" s="1016"/>
      <c r="AF286" s="1016"/>
      <c r="AG286" s="1016"/>
      <c r="AH286" s="1016"/>
      <c r="AI286" s="1016"/>
      <c r="AJ286" s="1016"/>
      <c r="AK286" s="1016"/>
      <c r="AL286" s="1016"/>
      <c r="AM286" s="1016"/>
      <c r="AN286" s="1016"/>
      <c r="AO286" s="1016"/>
      <c r="AP286" s="1016"/>
      <c r="AQ286" s="1016"/>
      <c r="AR286" s="1016"/>
      <c r="AS286" s="1016"/>
      <c r="AT286" s="1016"/>
      <c r="AU286" s="1016"/>
      <c r="AV286" s="1016"/>
      <c r="AW286" s="1016"/>
    </row>
    <row r="287" spans="2:49" x14ac:dyDescent="0.2">
      <c r="B287" s="1029"/>
      <c r="C287" s="1030"/>
      <c r="D287" s="1029"/>
      <c r="E287" s="1039"/>
      <c r="F287" s="1039"/>
      <c r="G287" s="1020"/>
      <c r="H287" s="1659"/>
      <c r="I287" s="1659"/>
      <c r="J287" s="1077" t="str">
        <f t="shared" si="21"/>
        <v/>
      </c>
      <c r="K287" s="1659"/>
      <c r="L287" s="1659"/>
      <c r="M287" s="1078" t="str">
        <f t="shared" si="22"/>
        <v/>
      </c>
      <c r="N287" s="1659"/>
      <c r="O287" s="1659"/>
      <c r="P287" s="1078" t="str">
        <f t="shared" si="23"/>
        <v/>
      </c>
      <c r="Q287" s="1659"/>
      <c r="R287" s="1659"/>
      <c r="S287" s="1078" t="str">
        <f t="shared" si="24"/>
        <v/>
      </c>
      <c r="T287" s="1661"/>
      <c r="U287" s="1659"/>
      <c r="V287" s="1078" t="str">
        <f t="shared" si="25"/>
        <v/>
      </c>
      <c r="W287" s="1016"/>
      <c r="X287" s="1016"/>
      <c r="Y287" s="1016"/>
      <c r="Z287" s="1016"/>
      <c r="AA287" s="1016"/>
      <c r="AB287" s="1016"/>
      <c r="AC287" s="1016"/>
      <c r="AD287" s="1016"/>
      <c r="AE287" s="1016"/>
      <c r="AF287" s="1016"/>
      <c r="AG287" s="1016"/>
      <c r="AH287" s="1016"/>
      <c r="AI287" s="1016"/>
      <c r="AJ287" s="1016"/>
      <c r="AK287" s="1016"/>
      <c r="AL287" s="1016"/>
      <c r="AM287" s="1016"/>
      <c r="AN287" s="1016"/>
      <c r="AO287" s="1016"/>
      <c r="AP287" s="1016"/>
      <c r="AQ287" s="1016"/>
      <c r="AR287" s="1016"/>
      <c r="AS287" s="1016"/>
      <c r="AT287" s="1016"/>
      <c r="AU287" s="1016"/>
      <c r="AV287" s="1016"/>
      <c r="AW287" s="1016"/>
    </row>
    <row r="288" spans="2:49" x14ac:dyDescent="0.2">
      <c r="B288" s="1029"/>
      <c r="C288" s="1030"/>
      <c r="D288" s="1029"/>
      <c r="E288" s="1038"/>
      <c r="F288" s="1038"/>
      <c r="G288" s="1020"/>
      <c r="H288" s="1659"/>
      <c r="I288" s="1659"/>
      <c r="J288" s="1077" t="str">
        <f t="shared" si="21"/>
        <v/>
      </c>
      <c r="K288" s="1659"/>
      <c r="L288" s="1659"/>
      <c r="M288" s="1078" t="str">
        <f t="shared" si="22"/>
        <v/>
      </c>
      <c r="N288" s="1659"/>
      <c r="O288" s="1659"/>
      <c r="P288" s="1078" t="str">
        <f t="shared" si="23"/>
        <v/>
      </c>
      <c r="Q288" s="1659"/>
      <c r="R288" s="1659"/>
      <c r="S288" s="1078" t="str">
        <f t="shared" si="24"/>
        <v/>
      </c>
      <c r="T288" s="1661"/>
      <c r="U288" s="1659"/>
      <c r="V288" s="1078" t="str">
        <f t="shared" si="25"/>
        <v/>
      </c>
      <c r="W288" s="1010"/>
    </row>
    <row r="289" spans="1:49" x14ac:dyDescent="0.2">
      <c r="B289" s="1029"/>
      <c r="C289" s="1030"/>
      <c r="D289" s="1029"/>
      <c r="E289" s="1038"/>
      <c r="F289" s="1038"/>
      <c r="G289" s="1020"/>
      <c r="H289" s="1659"/>
      <c r="I289" s="1659"/>
      <c r="J289" s="1077" t="str">
        <f t="shared" si="21"/>
        <v/>
      </c>
      <c r="K289" s="1659"/>
      <c r="L289" s="1659"/>
      <c r="M289" s="1078" t="str">
        <f t="shared" si="22"/>
        <v/>
      </c>
      <c r="N289" s="1659"/>
      <c r="O289" s="1659"/>
      <c r="P289" s="1078" t="str">
        <f t="shared" si="23"/>
        <v/>
      </c>
      <c r="Q289" s="1659"/>
      <c r="R289" s="1659"/>
      <c r="S289" s="1078" t="str">
        <f t="shared" si="24"/>
        <v/>
      </c>
      <c r="T289" s="1661"/>
      <c r="U289" s="1659"/>
      <c r="V289" s="1078" t="str">
        <f t="shared" si="25"/>
        <v/>
      </c>
      <c r="W289" s="1010"/>
    </row>
    <row r="290" spans="1:49" x14ac:dyDescent="0.2">
      <c r="B290" s="1029"/>
      <c r="C290" s="1030"/>
      <c r="D290" s="1029"/>
      <c r="E290" s="1038"/>
      <c r="F290" s="1038"/>
      <c r="G290" s="1020"/>
      <c r="H290" s="1659"/>
      <c r="I290" s="1659"/>
      <c r="J290" s="1077" t="str">
        <f t="shared" si="21"/>
        <v/>
      </c>
      <c r="K290" s="1659"/>
      <c r="L290" s="1659"/>
      <c r="M290" s="1078" t="str">
        <f t="shared" si="22"/>
        <v/>
      </c>
      <c r="N290" s="1659"/>
      <c r="O290" s="1659"/>
      <c r="P290" s="1078" t="str">
        <f t="shared" si="23"/>
        <v/>
      </c>
      <c r="Q290" s="1659"/>
      <c r="R290" s="1659"/>
      <c r="S290" s="1078" t="str">
        <f t="shared" si="24"/>
        <v/>
      </c>
      <c r="T290" s="1661"/>
      <c r="U290" s="1659"/>
      <c r="V290" s="1078" t="str">
        <f t="shared" si="25"/>
        <v/>
      </c>
      <c r="W290" s="1010"/>
    </row>
    <row r="291" spans="1:49" x14ac:dyDescent="0.2">
      <c r="B291" s="1029"/>
      <c r="C291" s="1030"/>
      <c r="D291" s="1029"/>
      <c r="E291" s="1038"/>
      <c r="F291" s="1038"/>
      <c r="G291" s="1020"/>
      <c r="H291" s="1659"/>
      <c r="I291" s="1659"/>
      <c r="J291" s="1077" t="str">
        <f t="shared" si="21"/>
        <v/>
      </c>
      <c r="K291" s="1659"/>
      <c r="L291" s="1659"/>
      <c r="M291" s="1078" t="str">
        <f t="shared" si="22"/>
        <v/>
      </c>
      <c r="N291" s="1659"/>
      <c r="O291" s="1659"/>
      <c r="P291" s="1078" t="str">
        <f t="shared" si="23"/>
        <v/>
      </c>
      <c r="Q291" s="1659"/>
      <c r="R291" s="1659"/>
      <c r="S291" s="1078" t="str">
        <f t="shared" si="24"/>
        <v/>
      </c>
      <c r="T291" s="1661"/>
      <c r="U291" s="1659"/>
      <c r="V291" s="1078" t="str">
        <f t="shared" si="25"/>
        <v/>
      </c>
      <c r="W291" s="1010"/>
    </row>
    <row r="292" spans="1:49" x14ac:dyDescent="0.2">
      <c r="B292" s="1029"/>
      <c r="C292" s="1030"/>
      <c r="D292" s="1029"/>
      <c r="E292" s="1038"/>
      <c r="F292" s="1038"/>
      <c r="G292" s="1020"/>
      <c r="H292" s="1659"/>
      <c r="I292" s="1659"/>
      <c r="J292" s="1077" t="str">
        <f t="shared" si="21"/>
        <v/>
      </c>
      <c r="K292" s="1659"/>
      <c r="L292" s="1659"/>
      <c r="M292" s="1078" t="str">
        <f t="shared" si="22"/>
        <v/>
      </c>
      <c r="N292" s="1659"/>
      <c r="O292" s="1659"/>
      <c r="P292" s="1078" t="str">
        <f t="shared" si="23"/>
        <v/>
      </c>
      <c r="Q292" s="1659"/>
      <c r="R292" s="1659"/>
      <c r="S292" s="1078" t="str">
        <f t="shared" si="24"/>
        <v/>
      </c>
      <c r="T292" s="1661"/>
      <c r="U292" s="1659"/>
      <c r="V292" s="1078" t="str">
        <f t="shared" si="25"/>
        <v/>
      </c>
      <c r="W292" s="1010"/>
    </row>
    <row r="293" spans="1:49" x14ac:dyDescent="0.2">
      <c r="B293" s="1029"/>
      <c r="C293" s="1030"/>
      <c r="D293" s="1029"/>
      <c r="E293" s="1038"/>
      <c r="F293" s="1038"/>
      <c r="G293" s="1020"/>
      <c r="H293" s="1659"/>
      <c r="I293" s="1659"/>
      <c r="J293" s="1077" t="str">
        <f t="shared" si="21"/>
        <v/>
      </c>
      <c r="K293" s="1659"/>
      <c r="L293" s="1659"/>
      <c r="M293" s="1078" t="str">
        <f t="shared" si="22"/>
        <v/>
      </c>
      <c r="N293" s="1659"/>
      <c r="O293" s="1659"/>
      <c r="P293" s="1078" t="str">
        <f t="shared" si="23"/>
        <v/>
      </c>
      <c r="Q293" s="1659"/>
      <c r="R293" s="1659"/>
      <c r="S293" s="1078" t="str">
        <f t="shared" si="24"/>
        <v/>
      </c>
      <c r="T293" s="1661"/>
      <c r="U293" s="1659"/>
      <c r="V293" s="1078" t="str">
        <f t="shared" si="25"/>
        <v/>
      </c>
      <c r="W293" s="1010"/>
    </row>
    <row r="294" spans="1:49" x14ac:dyDescent="0.2">
      <c r="B294" s="1029"/>
      <c r="C294" s="1030"/>
      <c r="D294" s="1029"/>
      <c r="E294" s="1038"/>
      <c r="F294" s="1038"/>
      <c r="G294" s="1020"/>
      <c r="H294" s="1659"/>
      <c r="I294" s="1659"/>
      <c r="J294" s="1077" t="str">
        <f t="shared" si="21"/>
        <v/>
      </c>
      <c r="K294" s="1659"/>
      <c r="L294" s="1659"/>
      <c r="M294" s="1078" t="str">
        <f t="shared" si="22"/>
        <v/>
      </c>
      <c r="N294" s="1659"/>
      <c r="O294" s="1659"/>
      <c r="P294" s="1078" t="str">
        <f t="shared" si="23"/>
        <v/>
      </c>
      <c r="Q294" s="1659"/>
      <c r="R294" s="1659"/>
      <c r="S294" s="1078" t="str">
        <f t="shared" si="24"/>
        <v/>
      </c>
      <c r="T294" s="1661"/>
      <c r="U294" s="1659"/>
      <c r="V294" s="1078" t="str">
        <f t="shared" si="25"/>
        <v/>
      </c>
      <c r="W294" s="1010"/>
    </row>
    <row r="295" spans="1:49" x14ac:dyDescent="0.2">
      <c r="B295" s="1029"/>
      <c r="C295" s="1030"/>
      <c r="D295" s="1029"/>
      <c r="E295" s="1038"/>
      <c r="F295" s="1038"/>
      <c r="G295" s="1020"/>
      <c r="H295" s="1659"/>
      <c r="I295" s="1659"/>
      <c r="J295" s="1077" t="str">
        <f t="shared" si="21"/>
        <v/>
      </c>
      <c r="K295" s="1659"/>
      <c r="L295" s="1659"/>
      <c r="M295" s="1078" t="str">
        <f t="shared" si="22"/>
        <v/>
      </c>
      <c r="N295" s="1659"/>
      <c r="O295" s="1659"/>
      <c r="P295" s="1078" t="str">
        <f t="shared" si="23"/>
        <v/>
      </c>
      <c r="Q295" s="1659"/>
      <c r="R295" s="1659"/>
      <c r="S295" s="1078" t="str">
        <f t="shared" si="24"/>
        <v/>
      </c>
      <c r="T295" s="1661"/>
      <c r="U295" s="1659"/>
      <c r="V295" s="1078" t="str">
        <f t="shared" si="25"/>
        <v/>
      </c>
      <c r="W295" s="1010"/>
    </row>
    <row r="296" spans="1:49" x14ac:dyDescent="0.2">
      <c r="B296" s="1029"/>
      <c r="C296" s="1030"/>
      <c r="D296" s="1029"/>
      <c r="E296" s="1038"/>
      <c r="F296" s="1038"/>
      <c r="G296" s="1020"/>
      <c r="H296" s="1659"/>
      <c r="I296" s="1659"/>
      <c r="J296" s="1077" t="str">
        <f t="shared" si="21"/>
        <v/>
      </c>
      <c r="K296" s="1659"/>
      <c r="L296" s="1659"/>
      <c r="M296" s="1078" t="str">
        <f t="shared" si="22"/>
        <v/>
      </c>
      <c r="N296" s="1659"/>
      <c r="O296" s="1659"/>
      <c r="P296" s="1078" t="str">
        <f t="shared" si="23"/>
        <v/>
      </c>
      <c r="Q296" s="1659"/>
      <c r="R296" s="1659"/>
      <c r="S296" s="1078" t="str">
        <f t="shared" si="24"/>
        <v/>
      </c>
      <c r="T296" s="1661"/>
      <c r="U296" s="1659"/>
      <c r="V296" s="1078" t="str">
        <f t="shared" si="25"/>
        <v/>
      </c>
      <c r="W296" s="1010"/>
    </row>
    <row r="297" spans="1:49" x14ac:dyDescent="0.2">
      <c r="B297" s="1029"/>
      <c r="C297" s="1030"/>
      <c r="D297" s="1029"/>
      <c r="E297" s="1038"/>
      <c r="F297" s="1038"/>
      <c r="G297" s="1020"/>
      <c r="H297" s="1659"/>
      <c r="I297" s="1659"/>
      <c r="J297" s="1077" t="str">
        <f t="shared" si="21"/>
        <v/>
      </c>
      <c r="K297" s="1659"/>
      <c r="L297" s="1659"/>
      <c r="M297" s="1078" t="str">
        <f t="shared" si="22"/>
        <v/>
      </c>
      <c r="N297" s="1659"/>
      <c r="O297" s="1659"/>
      <c r="P297" s="1078" t="str">
        <f t="shared" si="23"/>
        <v/>
      </c>
      <c r="Q297" s="1659"/>
      <c r="R297" s="1659"/>
      <c r="S297" s="1078" t="str">
        <f t="shared" si="24"/>
        <v/>
      </c>
      <c r="T297" s="1661"/>
      <c r="U297" s="1659"/>
      <c r="V297" s="1078" t="str">
        <f t="shared" si="25"/>
        <v/>
      </c>
      <c r="W297" s="1010"/>
    </row>
    <row r="298" spans="1:49" x14ac:dyDescent="0.2">
      <c r="B298" s="1029"/>
      <c r="C298" s="1030"/>
      <c r="D298" s="1029"/>
      <c r="E298" s="1038"/>
      <c r="F298" s="1038"/>
      <c r="G298" s="1020"/>
      <c r="H298" s="1659"/>
      <c r="I298" s="1659"/>
      <c r="J298" s="1077" t="str">
        <f t="shared" si="21"/>
        <v/>
      </c>
      <c r="K298" s="1659"/>
      <c r="L298" s="1659"/>
      <c r="M298" s="1078" t="str">
        <f t="shared" si="22"/>
        <v/>
      </c>
      <c r="N298" s="1659"/>
      <c r="O298" s="1659"/>
      <c r="P298" s="1078" t="str">
        <f t="shared" si="23"/>
        <v/>
      </c>
      <c r="Q298" s="1659"/>
      <c r="R298" s="1659"/>
      <c r="S298" s="1078" t="str">
        <f t="shared" si="24"/>
        <v/>
      </c>
      <c r="T298" s="1661"/>
      <c r="U298" s="1659"/>
      <c r="V298" s="1078" t="str">
        <f t="shared" si="25"/>
        <v/>
      </c>
      <c r="W298" s="1010"/>
    </row>
    <row r="299" spans="1:49" x14ac:dyDescent="0.2">
      <c r="B299" s="1029"/>
      <c r="C299" s="1030"/>
      <c r="D299" s="1029"/>
      <c r="E299" s="1040"/>
      <c r="F299" s="1040"/>
      <c r="G299" s="1020"/>
      <c r="H299" s="1659"/>
      <c r="I299" s="1659"/>
      <c r="J299" s="1077" t="str">
        <f t="shared" si="21"/>
        <v/>
      </c>
      <c r="K299" s="1659"/>
      <c r="L299" s="1659"/>
      <c r="M299" s="1078" t="str">
        <f t="shared" si="22"/>
        <v/>
      </c>
      <c r="N299" s="1659"/>
      <c r="O299" s="1659"/>
      <c r="P299" s="1078" t="str">
        <f t="shared" si="23"/>
        <v/>
      </c>
      <c r="Q299" s="1659"/>
      <c r="R299" s="1659"/>
      <c r="S299" s="1078" t="str">
        <f t="shared" si="24"/>
        <v/>
      </c>
      <c r="T299" s="1661"/>
      <c r="U299" s="1659"/>
      <c r="V299" s="1078" t="str">
        <f t="shared" si="25"/>
        <v/>
      </c>
      <c r="W299" s="1010"/>
    </row>
    <row r="300" spans="1:49" x14ac:dyDescent="0.2">
      <c r="B300" s="1029"/>
      <c r="C300" s="1030"/>
      <c r="D300" s="1029"/>
      <c r="E300" s="1038"/>
      <c r="F300" s="1038"/>
      <c r="G300" s="1020"/>
      <c r="H300" s="1659"/>
      <c r="I300" s="1659"/>
      <c r="J300" s="1077" t="str">
        <f t="shared" si="21"/>
        <v/>
      </c>
      <c r="K300" s="1659"/>
      <c r="L300" s="1659"/>
      <c r="M300" s="1078" t="str">
        <f t="shared" si="22"/>
        <v/>
      </c>
      <c r="N300" s="1659"/>
      <c r="O300" s="1659"/>
      <c r="P300" s="1078" t="str">
        <f t="shared" si="23"/>
        <v/>
      </c>
      <c r="Q300" s="1659"/>
      <c r="R300" s="1659"/>
      <c r="S300" s="1078" t="str">
        <f t="shared" si="24"/>
        <v/>
      </c>
      <c r="T300" s="1661"/>
      <c r="U300" s="1659"/>
      <c r="V300" s="1078" t="str">
        <f t="shared" si="25"/>
        <v/>
      </c>
      <c r="W300" s="1010"/>
    </row>
    <row r="301" spans="1:49" x14ac:dyDescent="0.2">
      <c r="B301" s="1029"/>
      <c r="C301" s="1030"/>
      <c r="D301" s="1029"/>
      <c r="E301" s="1038"/>
      <c r="F301" s="1038"/>
      <c r="G301" s="1020"/>
      <c r="H301" s="1659"/>
      <c r="I301" s="1659"/>
      <c r="J301" s="1077" t="str">
        <f t="shared" si="21"/>
        <v/>
      </c>
      <c r="K301" s="1659"/>
      <c r="L301" s="1659"/>
      <c r="M301" s="1078" t="str">
        <f t="shared" si="22"/>
        <v/>
      </c>
      <c r="N301" s="1659"/>
      <c r="O301" s="1659"/>
      <c r="P301" s="1078" t="str">
        <f t="shared" si="23"/>
        <v/>
      </c>
      <c r="Q301" s="1659"/>
      <c r="R301" s="1659"/>
      <c r="S301" s="1078" t="str">
        <f t="shared" si="24"/>
        <v/>
      </c>
      <c r="T301" s="1661"/>
      <c r="U301" s="1659"/>
      <c r="V301" s="1078" t="str">
        <f t="shared" si="25"/>
        <v/>
      </c>
      <c r="W301" s="1010"/>
    </row>
    <row r="302" spans="1:49" s="33" customFormat="1" x14ac:dyDescent="0.2">
      <c r="A302" s="1010"/>
      <c r="B302" s="1029"/>
      <c r="C302" s="1030"/>
      <c r="D302" s="1029"/>
      <c r="E302" s="1038"/>
      <c r="F302" s="1038"/>
      <c r="G302" s="1020"/>
      <c r="H302" s="1659"/>
      <c r="I302" s="1659"/>
      <c r="J302" s="1077" t="str">
        <f t="shared" si="21"/>
        <v/>
      </c>
      <c r="K302" s="1659"/>
      <c r="L302" s="1659"/>
      <c r="M302" s="1078" t="str">
        <f t="shared" si="22"/>
        <v/>
      </c>
      <c r="N302" s="1659"/>
      <c r="O302" s="1659"/>
      <c r="P302" s="1078" t="str">
        <f t="shared" si="23"/>
        <v/>
      </c>
      <c r="Q302" s="1659"/>
      <c r="R302" s="1659"/>
      <c r="S302" s="1078" t="str">
        <f t="shared" si="24"/>
        <v/>
      </c>
      <c r="T302" s="1661"/>
      <c r="U302" s="1659"/>
      <c r="V302" s="1078" t="str">
        <f t="shared" si="25"/>
        <v/>
      </c>
      <c r="W302" s="1010"/>
      <c r="X302" s="1010"/>
      <c r="Y302" s="1010"/>
      <c r="Z302" s="1010"/>
      <c r="AA302" s="1010"/>
      <c r="AB302" s="1010"/>
      <c r="AC302" s="1010"/>
      <c r="AD302" s="1010"/>
      <c r="AE302" s="1010"/>
      <c r="AF302" s="1010"/>
      <c r="AG302" s="1010"/>
      <c r="AH302" s="1010"/>
      <c r="AI302" s="1010"/>
      <c r="AJ302" s="1010"/>
      <c r="AK302" s="1010"/>
      <c r="AL302" s="1010"/>
      <c r="AM302" s="1010"/>
      <c r="AN302" s="1010"/>
      <c r="AO302" s="1010"/>
      <c r="AP302" s="1010"/>
      <c r="AQ302" s="1010"/>
      <c r="AR302" s="1010"/>
      <c r="AS302" s="1010"/>
      <c r="AT302" s="1010"/>
      <c r="AU302" s="1010"/>
      <c r="AV302" s="1010"/>
      <c r="AW302" s="1010"/>
    </row>
    <row r="303" spans="1:49" s="33" customFormat="1" x14ac:dyDescent="0.2">
      <c r="A303" s="1010"/>
      <c r="B303" s="1029"/>
      <c r="C303" s="1030"/>
      <c r="D303" s="1029"/>
      <c r="E303" s="1038"/>
      <c r="F303" s="1038"/>
      <c r="G303" s="1020"/>
      <c r="H303" s="1659"/>
      <c r="I303" s="1659"/>
      <c r="J303" s="1077" t="str">
        <f t="shared" si="21"/>
        <v/>
      </c>
      <c r="K303" s="1659"/>
      <c r="L303" s="1659"/>
      <c r="M303" s="1078" t="str">
        <f t="shared" si="22"/>
        <v/>
      </c>
      <c r="N303" s="1659"/>
      <c r="O303" s="1659"/>
      <c r="P303" s="1078" t="str">
        <f t="shared" si="23"/>
        <v/>
      </c>
      <c r="Q303" s="1659"/>
      <c r="R303" s="1659"/>
      <c r="S303" s="1078" t="str">
        <f t="shared" si="24"/>
        <v/>
      </c>
      <c r="T303" s="1661"/>
      <c r="U303" s="1659"/>
      <c r="V303" s="1078" t="str">
        <f t="shared" si="25"/>
        <v/>
      </c>
      <c r="W303" s="1010"/>
      <c r="X303" s="1010"/>
      <c r="Y303" s="1010"/>
      <c r="Z303" s="1010"/>
      <c r="AA303" s="1010"/>
      <c r="AB303" s="1010"/>
      <c r="AC303" s="1010"/>
      <c r="AD303" s="1010"/>
      <c r="AE303" s="1010"/>
      <c r="AF303" s="1010"/>
      <c r="AG303" s="1010"/>
      <c r="AH303" s="1010"/>
      <c r="AI303" s="1010"/>
      <c r="AJ303" s="1010"/>
      <c r="AK303" s="1010"/>
      <c r="AL303" s="1010"/>
      <c r="AM303" s="1010"/>
      <c r="AN303" s="1010"/>
      <c r="AO303" s="1010"/>
      <c r="AP303" s="1010"/>
      <c r="AQ303" s="1010"/>
      <c r="AR303" s="1010"/>
      <c r="AS303" s="1010"/>
      <c r="AT303" s="1010"/>
      <c r="AU303" s="1010"/>
      <c r="AV303" s="1010"/>
      <c r="AW303" s="1010"/>
    </row>
    <row r="304" spans="1:49" s="33" customFormat="1" x14ac:dyDescent="0.2">
      <c r="A304" s="1010"/>
      <c r="B304" s="1029"/>
      <c r="C304" s="1030"/>
      <c r="D304" s="1029"/>
      <c r="E304" s="1038"/>
      <c r="F304" s="1038"/>
      <c r="G304" s="1020"/>
      <c r="H304" s="1659"/>
      <c r="I304" s="1659"/>
      <c r="J304" s="1077" t="str">
        <f t="shared" si="21"/>
        <v/>
      </c>
      <c r="K304" s="1659"/>
      <c r="L304" s="1659"/>
      <c r="M304" s="1078" t="str">
        <f t="shared" si="22"/>
        <v/>
      </c>
      <c r="N304" s="1659"/>
      <c r="O304" s="1659"/>
      <c r="P304" s="1078" t="str">
        <f t="shared" si="23"/>
        <v/>
      </c>
      <c r="Q304" s="1659"/>
      <c r="R304" s="1659"/>
      <c r="S304" s="1078" t="str">
        <f t="shared" si="24"/>
        <v/>
      </c>
      <c r="T304" s="1661"/>
      <c r="U304" s="1659"/>
      <c r="V304" s="1078" t="str">
        <f t="shared" si="25"/>
        <v/>
      </c>
      <c r="W304" s="1010"/>
      <c r="X304" s="1010"/>
      <c r="Y304" s="1010"/>
      <c r="Z304" s="1010"/>
      <c r="AA304" s="1010"/>
      <c r="AB304" s="1010"/>
      <c r="AC304" s="1010"/>
      <c r="AD304" s="1010"/>
      <c r="AE304" s="1010"/>
      <c r="AF304" s="1010"/>
      <c r="AG304" s="1010"/>
      <c r="AH304" s="1010"/>
      <c r="AI304" s="1010"/>
      <c r="AJ304" s="1010"/>
      <c r="AK304" s="1010"/>
      <c r="AL304" s="1010"/>
      <c r="AM304" s="1010"/>
      <c r="AN304" s="1010"/>
      <c r="AO304" s="1010"/>
      <c r="AP304" s="1010"/>
      <c r="AQ304" s="1010"/>
      <c r="AR304" s="1010"/>
      <c r="AS304" s="1010"/>
      <c r="AT304" s="1010"/>
      <c r="AU304" s="1010"/>
      <c r="AV304" s="1010"/>
      <c r="AW304" s="1010"/>
    </row>
    <row r="305" spans="1:49" s="33" customFormat="1" x14ac:dyDescent="0.2">
      <c r="A305" s="1010"/>
      <c r="B305" s="1029"/>
      <c r="C305" s="1030"/>
      <c r="D305" s="1029"/>
      <c r="E305" s="1038"/>
      <c r="F305" s="1038"/>
      <c r="G305" s="1020"/>
      <c r="H305" s="1659"/>
      <c r="I305" s="1659"/>
      <c r="J305" s="1077" t="str">
        <f t="shared" si="21"/>
        <v/>
      </c>
      <c r="K305" s="1659"/>
      <c r="L305" s="1659"/>
      <c r="M305" s="1078" t="str">
        <f t="shared" si="22"/>
        <v/>
      </c>
      <c r="N305" s="1659"/>
      <c r="O305" s="1659"/>
      <c r="P305" s="1078" t="str">
        <f t="shared" si="23"/>
        <v/>
      </c>
      <c r="Q305" s="1659"/>
      <c r="R305" s="1659"/>
      <c r="S305" s="1078" t="str">
        <f t="shared" si="24"/>
        <v/>
      </c>
      <c r="T305" s="1661"/>
      <c r="U305" s="1659"/>
      <c r="V305" s="1078" t="str">
        <f t="shared" si="25"/>
        <v/>
      </c>
      <c r="W305" s="1010"/>
      <c r="X305" s="1010"/>
      <c r="Y305" s="1010"/>
      <c r="Z305" s="1010"/>
      <c r="AA305" s="1010"/>
      <c r="AB305" s="1010"/>
      <c r="AC305" s="1010"/>
      <c r="AD305" s="1010"/>
      <c r="AE305" s="1010"/>
      <c r="AF305" s="1010"/>
      <c r="AG305" s="1010"/>
      <c r="AH305" s="1010"/>
      <c r="AI305" s="1010"/>
      <c r="AJ305" s="1010"/>
      <c r="AK305" s="1010"/>
      <c r="AL305" s="1010"/>
      <c r="AM305" s="1010"/>
      <c r="AN305" s="1010"/>
      <c r="AO305" s="1010"/>
      <c r="AP305" s="1010"/>
      <c r="AQ305" s="1010"/>
      <c r="AR305" s="1010"/>
      <c r="AS305" s="1010"/>
      <c r="AT305" s="1010"/>
      <c r="AU305" s="1010"/>
      <c r="AV305" s="1010"/>
      <c r="AW305" s="1010"/>
    </row>
    <row r="306" spans="1:49" s="33" customFormat="1" x14ac:dyDescent="0.2">
      <c r="A306" s="1010"/>
      <c r="B306" s="1029"/>
      <c r="C306" s="1030"/>
      <c r="D306" s="1029"/>
      <c r="E306" s="1038"/>
      <c r="F306" s="1038"/>
      <c r="G306" s="1020"/>
      <c r="H306" s="1659"/>
      <c r="I306" s="1659"/>
      <c r="J306" s="1077" t="str">
        <f t="shared" si="21"/>
        <v/>
      </c>
      <c r="K306" s="1659"/>
      <c r="L306" s="1659"/>
      <c r="M306" s="1078" t="str">
        <f t="shared" si="22"/>
        <v/>
      </c>
      <c r="N306" s="1659"/>
      <c r="O306" s="1659"/>
      <c r="P306" s="1078" t="str">
        <f t="shared" si="23"/>
        <v/>
      </c>
      <c r="Q306" s="1659"/>
      <c r="R306" s="1659"/>
      <c r="S306" s="1078" t="str">
        <f t="shared" si="24"/>
        <v/>
      </c>
      <c r="T306" s="1661"/>
      <c r="U306" s="1659"/>
      <c r="V306" s="1078" t="str">
        <f t="shared" si="25"/>
        <v/>
      </c>
      <c r="W306" s="1010"/>
      <c r="X306" s="1010"/>
      <c r="Y306" s="1010"/>
      <c r="Z306" s="1010"/>
      <c r="AA306" s="1010"/>
      <c r="AB306" s="1010"/>
      <c r="AC306" s="1010"/>
      <c r="AD306" s="1010"/>
      <c r="AE306" s="1010"/>
      <c r="AF306" s="1010"/>
      <c r="AG306" s="1010"/>
      <c r="AH306" s="1010"/>
      <c r="AI306" s="1010"/>
      <c r="AJ306" s="1010"/>
      <c r="AK306" s="1010"/>
      <c r="AL306" s="1010"/>
      <c r="AM306" s="1010"/>
      <c r="AN306" s="1010"/>
      <c r="AO306" s="1010"/>
      <c r="AP306" s="1010"/>
      <c r="AQ306" s="1010"/>
      <c r="AR306" s="1010"/>
      <c r="AS306" s="1010"/>
      <c r="AT306" s="1010"/>
      <c r="AU306" s="1010"/>
      <c r="AV306" s="1010"/>
      <c r="AW306" s="1010"/>
    </row>
    <row r="307" spans="1:49" s="33" customFormat="1" x14ac:dyDescent="0.2">
      <c r="A307" s="1010"/>
      <c r="B307" s="1029"/>
      <c r="C307" s="1030"/>
      <c r="D307" s="1029"/>
      <c r="E307" s="1038"/>
      <c r="F307" s="1038"/>
      <c r="G307" s="1020"/>
      <c r="H307" s="1659"/>
      <c r="I307" s="1659"/>
      <c r="J307" s="1077" t="str">
        <f t="shared" si="21"/>
        <v/>
      </c>
      <c r="K307" s="1659"/>
      <c r="L307" s="1659"/>
      <c r="M307" s="1078" t="str">
        <f t="shared" si="22"/>
        <v/>
      </c>
      <c r="N307" s="1659"/>
      <c r="O307" s="1659"/>
      <c r="P307" s="1078" t="str">
        <f t="shared" si="23"/>
        <v/>
      </c>
      <c r="Q307" s="1659"/>
      <c r="R307" s="1659"/>
      <c r="S307" s="1078" t="str">
        <f t="shared" si="24"/>
        <v/>
      </c>
      <c r="T307" s="1661"/>
      <c r="U307" s="1659"/>
      <c r="V307" s="1078" t="str">
        <f t="shared" si="25"/>
        <v/>
      </c>
      <c r="W307" s="1010"/>
      <c r="X307" s="1010"/>
      <c r="Y307" s="1010"/>
      <c r="Z307" s="1010"/>
      <c r="AA307" s="1010"/>
      <c r="AB307" s="1010"/>
      <c r="AC307" s="1010"/>
      <c r="AD307" s="1010"/>
      <c r="AE307" s="1010"/>
      <c r="AF307" s="1010"/>
      <c r="AG307" s="1010"/>
      <c r="AH307" s="1010"/>
      <c r="AI307" s="1010"/>
      <c r="AJ307" s="1010"/>
      <c r="AK307" s="1010"/>
      <c r="AL307" s="1010"/>
      <c r="AM307" s="1010"/>
      <c r="AN307" s="1010"/>
      <c r="AO307" s="1010"/>
      <c r="AP307" s="1010"/>
      <c r="AQ307" s="1010"/>
      <c r="AR307" s="1010"/>
      <c r="AS307" s="1010"/>
      <c r="AT307" s="1010"/>
      <c r="AU307" s="1010"/>
      <c r="AV307" s="1010"/>
      <c r="AW307" s="1010"/>
    </row>
    <row r="308" spans="1:49" s="33" customFormat="1" x14ac:dyDescent="0.2">
      <c r="A308" s="1010"/>
      <c r="B308" s="1029"/>
      <c r="C308" s="1030"/>
      <c r="D308" s="1029"/>
      <c r="E308" s="1038"/>
      <c r="F308" s="1038"/>
      <c r="G308" s="1020"/>
      <c r="H308" s="1659"/>
      <c r="I308" s="1659"/>
      <c r="J308" s="1077" t="str">
        <f t="shared" si="21"/>
        <v/>
      </c>
      <c r="K308" s="1659"/>
      <c r="L308" s="1659"/>
      <c r="M308" s="1078" t="str">
        <f t="shared" si="22"/>
        <v/>
      </c>
      <c r="N308" s="1659"/>
      <c r="O308" s="1659"/>
      <c r="P308" s="1078" t="str">
        <f t="shared" si="23"/>
        <v/>
      </c>
      <c r="Q308" s="1659"/>
      <c r="R308" s="1659"/>
      <c r="S308" s="1078" t="str">
        <f t="shared" si="24"/>
        <v/>
      </c>
      <c r="T308" s="1661"/>
      <c r="U308" s="1659"/>
      <c r="V308" s="1078" t="str">
        <f t="shared" si="25"/>
        <v/>
      </c>
      <c r="W308" s="1010"/>
      <c r="X308" s="1010"/>
      <c r="Y308" s="1010"/>
      <c r="Z308" s="1010"/>
      <c r="AA308" s="1010"/>
      <c r="AB308" s="1010"/>
      <c r="AC308" s="1010"/>
      <c r="AD308" s="1010"/>
      <c r="AE308" s="1010"/>
      <c r="AF308" s="1010"/>
      <c r="AG308" s="1010"/>
      <c r="AH308" s="1010"/>
      <c r="AI308" s="1010"/>
      <c r="AJ308" s="1010"/>
      <c r="AK308" s="1010"/>
      <c r="AL308" s="1010"/>
      <c r="AM308" s="1010"/>
      <c r="AN308" s="1010"/>
      <c r="AO308" s="1010"/>
      <c r="AP308" s="1010"/>
      <c r="AQ308" s="1010"/>
      <c r="AR308" s="1010"/>
      <c r="AS308" s="1010"/>
      <c r="AT308" s="1010"/>
      <c r="AU308" s="1010"/>
      <c r="AV308" s="1010"/>
      <c r="AW308" s="1010"/>
    </row>
    <row r="309" spans="1:49" s="33" customFormat="1" x14ac:dyDescent="0.2">
      <c r="A309" s="1010"/>
      <c r="B309" s="1029"/>
      <c r="C309" s="1030"/>
      <c r="D309" s="1029"/>
      <c r="E309" s="1038"/>
      <c r="F309" s="1038"/>
      <c r="G309" s="1020"/>
      <c r="H309" s="1659"/>
      <c r="I309" s="1659"/>
      <c r="J309" s="1077" t="str">
        <f t="shared" si="21"/>
        <v/>
      </c>
      <c r="K309" s="1659"/>
      <c r="L309" s="1659"/>
      <c r="M309" s="1078" t="str">
        <f t="shared" si="22"/>
        <v/>
      </c>
      <c r="N309" s="1659"/>
      <c r="O309" s="1659"/>
      <c r="P309" s="1078" t="str">
        <f t="shared" si="23"/>
        <v/>
      </c>
      <c r="Q309" s="1659"/>
      <c r="R309" s="1659"/>
      <c r="S309" s="1078" t="str">
        <f t="shared" si="24"/>
        <v/>
      </c>
      <c r="T309" s="1661"/>
      <c r="U309" s="1659"/>
      <c r="V309" s="1078" t="str">
        <f t="shared" si="25"/>
        <v/>
      </c>
      <c r="W309" s="1010"/>
      <c r="X309" s="1010"/>
      <c r="Y309" s="1010"/>
      <c r="Z309" s="1010"/>
      <c r="AA309" s="1010"/>
      <c r="AB309" s="1010"/>
      <c r="AC309" s="1010"/>
      <c r="AD309" s="1010"/>
      <c r="AE309" s="1010"/>
      <c r="AF309" s="1010"/>
      <c r="AG309" s="1010"/>
      <c r="AH309" s="1010"/>
      <c r="AI309" s="1010"/>
      <c r="AJ309" s="1010"/>
      <c r="AK309" s="1010"/>
      <c r="AL309" s="1010"/>
      <c r="AM309" s="1010"/>
      <c r="AN309" s="1010"/>
      <c r="AO309" s="1010"/>
      <c r="AP309" s="1010"/>
      <c r="AQ309" s="1010"/>
      <c r="AR309" s="1010"/>
      <c r="AS309" s="1010"/>
      <c r="AT309" s="1010"/>
      <c r="AU309" s="1010"/>
      <c r="AV309" s="1010"/>
      <c r="AW309" s="1010"/>
    </row>
    <row r="310" spans="1:49" s="33" customFormat="1" x14ac:dyDescent="0.2">
      <c r="A310" s="1010"/>
      <c r="B310" s="1029"/>
      <c r="C310" s="1030"/>
      <c r="D310" s="1029"/>
      <c r="E310" s="1038"/>
      <c r="F310" s="1038"/>
      <c r="G310" s="1020"/>
      <c r="H310" s="1659"/>
      <c r="I310" s="1659"/>
      <c r="J310" s="1077" t="str">
        <f t="shared" si="21"/>
        <v/>
      </c>
      <c r="K310" s="1659"/>
      <c r="L310" s="1659"/>
      <c r="M310" s="1078" t="str">
        <f t="shared" si="22"/>
        <v/>
      </c>
      <c r="N310" s="1659"/>
      <c r="O310" s="1659"/>
      <c r="P310" s="1078" t="str">
        <f t="shared" si="23"/>
        <v/>
      </c>
      <c r="Q310" s="1659"/>
      <c r="R310" s="1659"/>
      <c r="S310" s="1078" t="str">
        <f t="shared" si="24"/>
        <v/>
      </c>
      <c r="T310" s="1661"/>
      <c r="U310" s="1659"/>
      <c r="V310" s="1078" t="str">
        <f t="shared" si="25"/>
        <v/>
      </c>
      <c r="W310" s="1010"/>
      <c r="X310" s="1010"/>
      <c r="Y310" s="1010"/>
      <c r="Z310" s="1010"/>
      <c r="AA310" s="1010"/>
      <c r="AB310" s="1010"/>
      <c r="AC310" s="1010"/>
      <c r="AD310" s="1010"/>
      <c r="AE310" s="1010"/>
      <c r="AF310" s="1010"/>
      <c r="AG310" s="1010"/>
      <c r="AH310" s="1010"/>
      <c r="AI310" s="1010"/>
      <c r="AJ310" s="1010"/>
      <c r="AK310" s="1010"/>
      <c r="AL310" s="1010"/>
      <c r="AM310" s="1010"/>
      <c r="AN310" s="1010"/>
      <c r="AO310" s="1010"/>
      <c r="AP310" s="1010"/>
      <c r="AQ310" s="1010"/>
      <c r="AR310" s="1010"/>
      <c r="AS310" s="1010"/>
      <c r="AT310" s="1010"/>
      <c r="AU310" s="1010"/>
      <c r="AV310" s="1010"/>
      <c r="AW310" s="1010"/>
    </row>
    <row r="311" spans="1:49" s="33" customFormat="1" x14ac:dyDescent="0.2">
      <c r="A311" s="1010"/>
      <c r="B311" s="1029"/>
      <c r="C311" s="1030"/>
      <c r="D311" s="1029"/>
      <c r="E311" s="1038"/>
      <c r="F311" s="1038"/>
      <c r="G311" s="1020"/>
      <c r="H311" s="1659"/>
      <c r="I311" s="1659"/>
      <c r="J311" s="1077" t="str">
        <f t="shared" si="21"/>
        <v/>
      </c>
      <c r="K311" s="1659"/>
      <c r="L311" s="1659"/>
      <c r="M311" s="1078" t="str">
        <f t="shared" si="22"/>
        <v/>
      </c>
      <c r="N311" s="1659"/>
      <c r="O311" s="1659"/>
      <c r="P311" s="1078" t="str">
        <f t="shared" si="23"/>
        <v/>
      </c>
      <c r="Q311" s="1659"/>
      <c r="R311" s="1659"/>
      <c r="S311" s="1078" t="str">
        <f t="shared" si="24"/>
        <v/>
      </c>
      <c r="T311" s="1661"/>
      <c r="U311" s="1659"/>
      <c r="V311" s="1078" t="str">
        <f t="shared" si="25"/>
        <v/>
      </c>
      <c r="W311" s="1010"/>
      <c r="X311" s="1010"/>
      <c r="Y311" s="1010"/>
      <c r="Z311" s="1010"/>
      <c r="AA311" s="1010"/>
      <c r="AB311" s="1010"/>
      <c r="AC311" s="1010"/>
      <c r="AD311" s="1010"/>
      <c r="AE311" s="1010"/>
      <c r="AF311" s="1010"/>
      <c r="AG311" s="1010"/>
      <c r="AH311" s="1010"/>
      <c r="AI311" s="1010"/>
      <c r="AJ311" s="1010"/>
      <c r="AK311" s="1010"/>
      <c r="AL311" s="1010"/>
      <c r="AM311" s="1010"/>
      <c r="AN311" s="1010"/>
      <c r="AO311" s="1010"/>
      <c r="AP311" s="1010"/>
      <c r="AQ311" s="1010"/>
      <c r="AR311" s="1010"/>
      <c r="AS311" s="1010"/>
      <c r="AT311" s="1010"/>
      <c r="AU311" s="1010"/>
      <c r="AV311" s="1010"/>
      <c r="AW311" s="1010"/>
    </row>
    <row r="312" spans="1:49" s="33" customFormat="1" x14ac:dyDescent="0.2">
      <c r="A312" s="1010"/>
      <c r="B312" s="1029"/>
      <c r="C312" s="1030"/>
      <c r="D312" s="1029"/>
      <c r="E312" s="1038"/>
      <c r="F312" s="1038"/>
      <c r="G312" s="1020"/>
      <c r="H312" s="1659"/>
      <c r="I312" s="1659"/>
      <c r="J312" s="1077" t="str">
        <f t="shared" si="21"/>
        <v/>
      </c>
      <c r="K312" s="1659"/>
      <c r="L312" s="1659"/>
      <c r="M312" s="1078" t="str">
        <f t="shared" si="22"/>
        <v/>
      </c>
      <c r="N312" s="1659"/>
      <c r="O312" s="1659"/>
      <c r="P312" s="1078" t="str">
        <f t="shared" si="23"/>
        <v/>
      </c>
      <c r="Q312" s="1659"/>
      <c r="R312" s="1659"/>
      <c r="S312" s="1078" t="str">
        <f t="shared" si="24"/>
        <v/>
      </c>
      <c r="T312" s="1661"/>
      <c r="U312" s="1659"/>
      <c r="V312" s="1078" t="str">
        <f t="shared" si="25"/>
        <v/>
      </c>
      <c r="W312" s="1010"/>
      <c r="X312" s="1010"/>
      <c r="Y312" s="1010"/>
      <c r="Z312" s="1010"/>
      <c r="AA312" s="1010"/>
      <c r="AB312" s="1010"/>
      <c r="AC312" s="1010"/>
      <c r="AD312" s="1010"/>
      <c r="AE312" s="1010"/>
      <c r="AF312" s="1010"/>
      <c r="AG312" s="1010"/>
      <c r="AH312" s="1010"/>
      <c r="AI312" s="1010"/>
      <c r="AJ312" s="1010"/>
      <c r="AK312" s="1010"/>
      <c r="AL312" s="1010"/>
      <c r="AM312" s="1010"/>
      <c r="AN312" s="1010"/>
      <c r="AO312" s="1010"/>
      <c r="AP312" s="1010"/>
      <c r="AQ312" s="1010"/>
      <c r="AR312" s="1010"/>
      <c r="AS312" s="1010"/>
      <c r="AT312" s="1010"/>
      <c r="AU312" s="1010"/>
      <c r="AV312" s="1010"/>
      <c r="AW312" s="1010"/>
    </row>
    <row r="313" spans="1:49" s="33" customFormat="1" x14ac:dyDescent="0.2">
      <c r="A313" s="1010"/>
      <c r="B313" s="1029"/>
      <c r="C313" s="1030"/>
      <c r="D313" s="1029"/>
      <c r="E313" s="1038"/>
      <c r="F313" s="1038"/>
      <c r="G313" s="1020"/>
      <c r="H313" s="1659"/>
      <c r="I313" s="1659"/>
      <c r="J313" s="1077" t="str">
        <f t="shared" si="21"/>
        <v/>
      </c>
      <c r="K313" s="1659"/>
      <c r="L313" s="1659"/>
      <c r="M313" s="1078" t="str">
        <f t="shared" si="22"/>
        <v/>
      </c>
      <c r="N313" s="1659"/>
      <c r="O313" s="1659"/>
      <c r="P313" s="1078" t="str">
        <f t="shared" si="23"/>
        <v/>
      </c>
      <c r="Q313" s="1659"/>
      <c r="R313" s="1659"/>
      <c r="S313" s="1078" t="str">
        <f t="shared" si="24"/>
        <v/>
      </c>
      <c r="T313" s="1661"/>
      <c r="U313" s="1659"/>
      <c r="V313" s="1078" t="str">
        <f t="shared" si="25"/>
        <v/>
      </c>
      <c r="W313" s="1010"/>
      <c r="X313" s="1010"/>
      <c r="Y313" s="1010"/>
      <c r="Z313" s="1010"/>
      <c r="AA313" s="1010"/>
      <c r="AB313" s="1010"/>
      <c r="AC313" s="1010"/>
      <c r="AD313" s="1010"/>
      <c r="AE313" s="1010"/>
      <c r="AF313" s="1010"/>
      <c r="AG313" s="1010"/>
      <c r="AH313" s="1010"/>
      <c r="AI313" s="1010"/>
      <c r="AJ313" s="1010"/>
      <c r="AK313" s="1010"/>
      <c r="AL313" s="1010"/>
      <c r="AM313" s="1010"/>
      <c r="AN313" s="1010"/>
      <c r="AO313" s="1010"/>
      <c r="AP313" s="1010"/>
      <c r="AQ313" s="1010"/>
      <c r="AR313" s="1010"/>
      <c r="AS313" s="1010"/>
      <c r="AT313" s="1010"/>
      <c r="AU313" s="1010"/>
      <c r="AV313" s="1010"/>
      <c r="AW313" s="1010"/>
    </row>
    <row r="314" spans="1:49" s="33" customFormat="1" x14ac:dyDescent="0.2">
      <c r="A314" s="1010"/>
      <c r="B314" s="1029"/>
      <c r="C314" s="1030"/>
      <c r="D314" s="1029"/>
      <c r="E314" s="1038"/>
      <c r="F314" s="1038"/>
      <c r="G314" s="1020"/>
      <c r="H314" s="1659"/>
      <c r="I314" s="1659"/>
      <c r="J314" s="1077" t="str">
        <f t="shared" si="21"/>
        <v/>
      </c>
      <c r="K314" s="1659"/>
      <c r="L314" s="1659"/>
      <c r="M314" s="1078" t="str">
        <f t="shared" si="22"/>
        <v/>
      </c>
      <c r="N314" s="1659"/>
      <c r="O314" s="1659"/>
      <c r="P314" s="1078" t="str">
        <f t="shared" si="23"/>
        <v/>
      </c>
      <c r="Q314" s="1659"/>
      <c r="R314" s="1659"/>
      <c r="S314" s="1078" t="str">
        <f t="shared" si="24"/>
        <v/>
      </c>
      <c r="T314" s="1661"/>
      <c r="U314" s="1659"/>
      <c r="V314" s="1078" t="str">
        <f t="shared" si="25"/>
        <v/>
      </c>
      <c r="W314" s="1010"/>
      <c r="X314" s="1010"/>
      <c r="Y314" s="1010"/>
      <c r="Z314" s="1010"/>
      <c r="AA314" s="1010"/>
      <c r="AB314" s="1010"/>
      <c r="AC314" s="1010"/>
      <c r="AD314" s="1010"/>
      <c r="AE314" s="1010"/>
      <c r="AF314" s="1010"/>
      <c r="AG314" s="1010"/>
      <c r="AH314" s="1010"/>
      <c r="AI314" s="1010"/>
      <c r="AJ314" s="1010"/>
      <c r="AK314" s="1010"/>
      <c r="AL314" s="1010"/>
      <c r="AM314" s="1010"/>
      <c r="AN314" s="1010"/>
      <c r="AO314" s="1010"/>
      <c r="AP314" s="1010"/>
      <c r="AQ314" s="1010"/>
      <c r="AR314" s="1010"/>
      <c r="AS314" s="1010"/>
      <c r="AT314" s="1010"/>
      <c r="AU314" s="1010"/>
      <c r="AV314" s="1010"/>
      <c r="AW314" s="1010"/>
    </row>
    <row r="315" spans="1:49" s="33" customFormat="1" x14ac:dyDescent="0.2">
      <c r="A315" s="1010"/>
      <c r="B315" s="1029"/>
      <c r="C315" s="1030"/>
      <c r="D315" s="1029"/>
      <c r="E315" s="1038"/>
      <c r="F315" s="1038"/>
      <c r="G315" s="1020"/>
      <c r="H315" s="1659"/>
      <c r="I315" s="1659"/>
      <c r="J315" s="1077" t="str">
        <f t="shared" si="21"/>
        <v/>
      </c>
      <c r="K315" s="1659"/>
      <c r="L315" s="1659"/>
      <c r="M315" s="1078" t="str">
        <f t="shared" si="22"/>
        <v/>
      </c>
      <c r="N315" s="1659"/>
      <c r="O315" s="1659"/>
      <c r="P315" s="1078" t="str">
        <f t="shared" si="23"/>
        <v/>
      </c>
      <c r="Q315" s="1659"/>
      <c r="R315" s="1659"/>
      <c r="S315" s="1078" t="str">
        <f t="shared" si="24"/>
        <v/>
      </c>
      <c r="T315" s="1661"/>
      <c r="U315" s="1659"/>
      <c r="V315" s="1078" t="str">
        <f t="shared" si="25"/>
        <v/>
      </c>
      <c r="W315" s="1010"/>
      <c r="X315" s="1010"/>
      <c r="Y315" s="1010"/>
      <c r="Z315" s="1010"/>
      <c r="AA315" s="1010"/>
      <c r="AB315" s="1010"/>
      <c r="AC315" s="1010"/>
      <c r="AD315" s="1010"/>
      <c r="AE315" s="1010"/>
      <c r="AF315" s="1010"/>
      <c r="AG315" s="1010"/>
      <c r="AH315" s="1010"/>
      <c r="AI315" s="1010"/>
      <c r="AJ315" s="1010"/>
      <c r="AK315" s="1010"/>
      <c r="AL315" s="1010"/>
      <c r="AM315" s="1010"/>
      <c r="AN315" s="1010"/>
      <c r="AO315" s="1010"/>
      <c r="AP315" s="1010"/>
      <c r="AQ315" s="1010"/>
      <c r="AR315" s="1010"/>
      <c r="AS315" s="1010"/>
      <c r="AT315" s="1010"/>
      <c r="AU315" s="1010"/>
      <c r="AV315" s="1010"/>
      <c r="AW315" s="1010"/>
    </row>
    <row r="316" spans="1:49" s="33" customFormat="1" x14ac:dyDescent="0.2">
      <c r="A316" s="1010"/>
      <c r="B316" s="1029"/>
      <c r="C316" s="1030"/>
      <c r="D316" s="1029"/>
      <c r="E316" s="1038"/>
      <c r="F316" s="1038"/>
      <c r="G316" s="1020"/>
      <c r="H316" s="1659"/>
      <c r="I316" s="1659"/>
      <c r="J316" s="1077" t="str">
        <f t="shared" si="21"/>
        <v/>
      </c>
      <c r="K316" s="1659"/>
      <c r="L316" s="1659"/>
      <c r="M316" s="1078" t="str">
        <f t="shared" si="22"/>
        <v/>
      </c>
      <c r="N316" s="1659"/>
      <c r="O316" s="1659"/>
      <c r="P316" s="1078" t="str">
        <f t="shared" si="23"/>
        <v/>
      </c>
      <c r="Q316" s="1659"/>
      <c r="R316" s="1659"/>
      <c r="S316" s="1078" t="str">
        <f t="shared" si="24"/>
        <v/>
      </c>
      <c r="T316" s="1661"/>
      <c r="U316" s="1659"/>
      <c r="V316" s="1078" t="str">
        <f t="shared" si="25"/>
        <v/>
      </c>
      <c r="W316" s="1010"/>
      <c r="X316" s="1010"/>
      <c r="Y316" s="1010"/>
      <c r="Z316" s="1010"/>
      <c r="AA316" s="1010"/>
      <c r="AB316" s="1010"/>
      <c r="AC316" s="1010"/>
      <c r="AD316" s="1010"/>
      <c r="AE316" s="1010"/>
      <c r="AF316" s="1010"/>
      <c r="AG316" s="1010"/>
      <c r="AH316" s="1010"/>
      <c r="AI316" s="1010"/>
      <c r="AJ316" s="1010"/>
      <c r="AK316" s="1010"/>
      <c r="AL316" s="1010"/>
      <c r="AM316" s="1010"/>
      <c r="AN316" s="1010"/>
      <c r="AO316" s="1010"/>
      <c r="AP316" s="1010"/>
      <c r="AQ316" s="1010"/>
      <c r="AR316" s="1010"/>
      <c r="AS316" s="1010"/>
      <c r="AT316" s="1010"/>
      <c r="AU316" s="1010"/>
      <c r="AV316" s="1010"/>
      <c r="AW316" s="1010"/>
    </row>
    <row r="317" spans="1:49" s="33" customFormat="1" x14ac:dyDescent="0.2">
      <c r="A317" s="1010"/>
      <c r="B317" s="1029"/>
      <c r="C317" s="1030"/>
      <c r="D317" s="1029"/>
      <c r="E317" s="1038"/>
      <c r="F317" s="1038"/>
      <c r="G317" s="1020"/>
      <c r="H317" s="1659"/>
      <c r="I317" s="1659"/>
      <c r="J317" s="1077" t="str">
        <f t="shared" si="21"/>
        <v/>
      </c>
      <c r="K317" s="1659"/>
      <c r="L317" s="1659"/>
      <c r="M317" s="1078" t="str">
        <f t="shared" si="22"/>
        <v/>
      </c>
      <c r="N317" s="1659"/>
      <c r="O317" s="1659"/>
      <c r="P317" s="1078" t="str">
        <f t="shared" si="23"/>
        <v/>
      </c>
      <c r="Q317" s="1659"/>
      <c r="R317" s="1659"/>
      <c r="S317" s="1078" t="str">
        <f t="shared" si="24"/>
        <v/>
      </c>
      <c r="T317" s="1661"/>
      <c r="U317" s="1659"/>
      <c r="V317" s="1078" t="str">
        <f t="shared" si="25"/>
        <v/>
      </c>
      <c r="W317" s="1010"/>
      <c r="X317" s="1010"/>
      <c r="Y317" s="1010"/>
      <c r="Z317" s="1010"/>
      <c r="AA317" s="1010"/>
      <c r="AB317" s="1010"/>
      <c r="AC317" s="1010"/>
      <c r="AD317" s="1010"/>
      <c r="AE317" s="1010"/>
      <c r="AF317" s="1010"/>
      <c r="AG317" s="1010"/>
      <c r="AH317" s="1010"/>
      <c r="AI317" s="1010"/>
      <c r="AJ317" s="1010"/>
      <c r="AK317" s="1010"/>
      <c r="AL317" s="1010"/>
      <c r="AM317" s="1010"/>
      <c r="AN317" s="1010"/>
      <c r="AO317" s="1010"/>
      <c r="AP317" s="1010"/>
      <c r="AQ317" s="1010"/>
      <c r="AR317" s="1010"/>
      <c r="AS317" s="1010"/>
      <c r="AT317" s="1010"/>
      <c r="AU317" s="1010"/>
      <c r="AV317" s="1010"/>
      <c r="AW317" s="1010"/>
    </row>
    <row r="318" spans="1:49" s="33" customFormat="1" x14ac:dyDescent="0.2">
      <c r="A318" s="1010"/>
      <c r="B318" s="1029"/>
      <c r="C318" s="1030"/>
      <c r="D318" s="1029"/>
      <c r="E318" s="1038"/>
      <c r="F318" s="1038"/>
      <c r="G318" s="1020"/>
      <c r="H318" s="1659"/>
      <c r="I318" s="1659"/>
      <c r="J318" s="1077" t="str">
        <f t="shared" si="21"/>
        <v/>
      </c>
      <c r="K318" s="1659"/>
      <c r="L318" s="1659"/>
      <c r="M318" s="1078" t="str">
        <f t="shared" si="22"/>
        <v/>
      </c>
      <c r="N318" s="1659"/>
      <c r="O318" s="1659"/>
      <c r="P318" s="1078" t="str">
        <f t="shared" si="23"/>
        <v/>
      </c>
      <c r="Q318" s="1659"/>
      <c r="R318" s="1659"/>
      <c r="S318" s="1078" t="str">
        <f t="shared" si="24"/>
        <v/>
      </c>
      <c r="T318" s="1661"/>
      <c r="U318" s="1659"/>
      <c r="V318" s="1078" t="str">
        <f t="shared" si="25"/>
        <v/>
      </c>
      <c r="W318" s="1010"/>
      <c r="X318" s="1010"/>
      <c r="Y318" s="1010"/>
      <c r="Z318" s="1010"/>
      <c r="AA318" s="1010"/>
      <c r="AB318" s="1010"/>
      <c r="AC318" s="1010"/>
      <c r="AD318" s="1010"/>
      <c r="AE318" s="1010"/>
      <c r="AF318" s="1010"/>
      <c r="AG318" s="1010"/>
      <c r="AH318" s="1010"/>
      <c r="AI318" s="1010"/>
      <c r="AJ318" s="1010"/>
      <c r="AK318" s="1010"/>
      <c r="AL318" s="1010"/>
      <c r="AM318" s="1010"/>
      <c r="AN318" s="1010"/>
      <c r="AO318" s="1010"/>
      <c r="AP318" s="1010"/>
      <c r="AQ318" s="1010"/>
      <c r="AR318" s="1010"/>
      <c r="AS318" s="1010"/>
      <c r="AT318" s="1010"/>
      <c r="AU318" s="1010"/>
      <c r="AV318" s="1010"/>
      <c r="AW318" s="1010"/>
    </row>
    <row r="319" spans="1:49" s="33" customFormat="1" x14ac:dyDescent="0.2">
      <c r="A319" s="1010"/>
      <c r="B319" s="1029"/>
      <c r="C319" s="1030"/>
      <c r="D319" s="1029"/>
      <c r="E319" s="1038"/>
      <c r="F319" s="1038"/>
      <c r="G319" s="1020"/>
      <c r="H319" s="1659"/>
      <c r="I319" s="1659"/>
      <c r="J319" s="1077" t="str">
        <f t="shared" si="21"/>
        <v/>
      </c>
      <c r="K319" s="1659"/>
      <c r="L319" s="1659"/>
      <c r="M319" s="1078" t="str">
        <f t="shared" si="22"/>
        <v/>
      </c>
      <c r="N319" s="1659"/>
      <c r="O319" s="1659"/>
      <c r="P319" s="1078" t="str">
        <f t="shared" si="23"/>
        <v/>
      </c>
      <c r="Q319" s="1659"/>
      <c r="R319" s="1659"/>
      <c r="S319" s="1078" t="str">
        <f t="shared" si="24"/>
        <v/>
      </c>
      <c r="T319" s="1661"/>
      <c r="U319" s="1659"/>
      <c r="V319" s="1078" t="str">
        <f t="shared" si="25"/>
        <v/>
      </c>
      <c r="W319" s="1010"/>
      <c r="X319" s="1010"/>
      <c r="Y319" s="1010"/>
      <c r="Z319" s="1010"/>
      <c r="AA319" s="1010"/>
      <c r="AB319" s="1010"/>
      <c r="AC319" s="1010"/>
      <c r="AD319" s="1010"/>
      <c r="AE319" s="1010"/>
      <c r="AF319" s="1010"/>
      <c r="AG319" s="1010"/>
      <c r="AH319" s="1010"/>
      <c r="AI319" s="1010"/>
      <c r="AJ319" s="1010"/>
      <c r="AK319" s="1010"/>
      <c r="AL319" s="1010"/>
      <c r="AM319" s="1010"/>
      <c r="AN319" s="1010"/>
      <c r="AO319" s="1010"/>
      <c r="AP319" s="1010"/>
      <c r="AQ319" s="1010"/>
      <c r="AR319" s="1010"/>
      <c r="AS319" s="1010"/>
      <c r="AT319" s="1010"/>
      <c r="AU319" s="1010"/>
      <c r="AV319" s="1010"/>
      <c r="AW319" s="1010"/>
    </row>
    <row r="320" spans="1:49" s="33" customFormat="1" x14ac:dyDescent="0.2">
      <c r="A320" s="1010"/>
      <c r="B320" s="1029"/>
      <c r="C320" s="1030"/>
      <c r="D320" s="1029"/>
      <c r="E320" s="1038"/>
      <c r="F320" s="1038"/>
      <c r="G320" s="1020"/>
      <c r="H320" s="1659"/>
      <c r="I320" s="1659"/>
      <c r="J320" s="1077" t="str">
        <f t="shared" si="21"/>
        <v/>
      </c>
      <c r="K320" s="1659"/>
      <c r="L320" s="1659"/>
      <c r="M320" s="1078" t="str">
        <f t="shared" si="22"/>
        <v/>
      </c>
      <c r="N320" s="1659"/>
      <c r="O320" s="1659"/>
      <c r="P320" s="1078" t="str">
        <f t="shared" si="23"/>
        <v/>
      </c>
      <c r="Q320" s="1659"/>
      <c r="R320" s="1659"/>
      <c r="S320" s="1078" t="str">
        <f t="shared" si="24"/>
        <v/>
      </c>
      <c r="T320" s="1661"/>
      <c r="U320" s="1659"/>
      <c r="V320" s="1078" t="str">
        <f t="shared" si="25"/>
        <v/>
      </c>
      <c r="W320" s="1010"/>
      <c r="X320" s="1010"/>
      <c r="Y320" s="1010"/>
      <c r="Z320" s="1010"/>
      <c r="AA320" s="1010"/>
      <c r="AB320" s="1010"/>
      <c r="AC320" s="1010"/>
      <c r="AD320" s="1010"/>
      <c r="AE320" s="1010"/>
      <c r="AF320" s="1010"/>
      <c r="AG320" s="1010"/>
      <c r="AH320" s="1010"/>
      <c r="AI320" s="1010"/>
      <c r="AJ320" s="1010"/>
      <c r="AK320" s="1010"/>
      <c r="AL320" s="1010"/>
      <c r="AM320" s="1010"/>
      <c r="AN320" s="1010"/>
      <c r="AO320" s="1010"/>
      <c r="AP320" s="1010"/>
      <c r="AQ320" s="1010"/>
      <c r="AR320" s="1010"/>
      <c r="AS320" s="1010"/>
      <c r="AT320" s="1010"/>
      <c r="AU320" s="1010"/>
      <c r="AV320" s="1010"/>
      <c r="AW320" s="1010"/>
    </row>
    <row r="321" spans="1:49" s="33" customFormat="1" x14ac:dyDescent="0.2">
      <c r="A321" s="1010"/>
      <c r="B321" s="1029"/>
      <c r="C321" s="1030"/>
      <c r="D321" s="1029"/>
      <c r="E321" s="1038"/>
      <c r="F321" s="1038"/>
      <c r="G321" s="1020"/>
      <c r="H321" s="1659"/>
      <c r="I321" s="1659"/>
      <c r="J321" s="1077" t="str">
        <f t="shared" si="21"/>
        <v/>
      </c>
      <c r="K321" s="1659"/>
      <c r="L321" s="1659"/>
      <c r="M321" s="1078" t="str">
        <f t="shared" si="22"/>
        <v/>
      </c>
      <c r="N321" s="1659"/>
      <c r="O321" s="1659"/>
      <c r="P321" s="1078" t="str">
        <f t="shared" si="23"/>
        <v/>
      </c>
      <c r="Q321" s="1659"/>
      <c r="R321" s="1659"/>
      <c r="S321" s="1078" t="str">
        <f t="shared" si="24"/>
        <v/>
      </c>
      <c r="T321" s="1661"/>
      <c r="U321" s="1659"/>
      <c r="V321" s="1078" t="str">
        <f t="shared" si="25"/>
        <v/>
      </c>
      <c r="W321" s="1010"/>
      <c r="X321" s="1010"/>
      <c r="Y321" s="1010"/>
      <c r="Z321" s="1010"/>
      <c r="AA321" s="1010"/>
      <c r="AB321" s="1010"/>
      <c r="AC321" s="1010"/>
      <c r="AD321" s="1010"/>
      <c r="AE321" s="1010"/>
      <c r="AF321" s="1010"/>
      <c r="AG321" s="1010"/>
      <c r="AH321" s="1010"/>
      <c r="AI321" s="1010"/>
      <c r="AJ321" s="1010"/>
      <c r="AK321" s="1010"/>
      <c r="AL321" s="1010"/>
      <c r="AM321" s="1010"/>
      <c r="AN321" s="1010"/>
      <c r="AO321" s="1010"/>
      <c r="AP321" s="1010"/>
      <c r="AQ321" s="1010"/>
      <c r="AR321" s="1010"/>
      <c r="AS321" s="1010"/>
      <c r="AT321" s="1010"/>
      <c r="AU321" s="1010"/>
      <c r="AV321" s="1010"/>
      <c r="AW321" s="1010"/>
    </row>
    <row r="322" spans="1:49" s="33" customFormat="1" x14ac:dyDescent="0.2">
      <c r="A322" s="1010"/>
      <c r="B322" s="1029"/>
      <c r="C322" s="1030"/>
      <c r="D322" s="1029"/>
      <c r="E322" s="1038"/>
      <c r="F322" s="1038"/>
      <c r="G322" s="1020"/>
      <c r="H322" s="1659"/>
      <c r="I322" s="1659"/>
      <c r="J322" s="1077" t="str">
        <f t="shared" si="21"/>
        <v/>
      </c>
      <c r="K322" s="1659"/>
      <c r="L322" s="1659"/>
      <c r="M322" s="1078" t="str">
        <f t="shared" si="22"/>
        <v/>
      </c>
      <c r="N322" s="1659"/>
      <c r="O322" s="1659"/>
      <c r="P322" s="1078" t="str">
        <f t="shared" si="23"/>
        <v/>
      </c>
      <c r="Q322" s="1659"/>
      <c r="R322" s="1659"/>
      <c r="S322" s="1078" t="str">
        <f t="shared" si="24"/>
        <v/>
      </c>
      <c r="T322" s="1661"/>
      <c r="U322" s="1659"/>
      <c r="V322" s="1078" t="str">
        <f t="shared" si="25"/>
        <v/>
      </c>
      <c r="W322" s="1010"/>
      <c r="X322" s="1010"/>
      <c r="Y322" s="1010"/>
      <c r="Z322" s="1010"/>
      <c r="AA322" s="1010"/>
      <c r="AB322" s="1010"/>
      <c r="AC322" s="1010"/>
      <c r="AD322" s="1010"/>
      <c r="AE322" s="1010"/>
      <c r="AF322" s="1010"/>
      <c r="AG322" s="1010"/>
      <c r="AH322" s="1010"/>
      <c r="AI322" s="1010"/>
      <c r="AJ322" s="1010"/>
      <c r="AK322" s="1010"/>
      <c r="AL322" s="1010"/>
      <c r="AM322" s="1010"/>
      <c r="AN322" s="1010"/>
      <c r="AO322" s="1010"/>
      <c r="AP322" s="1010"/>
      <c r="AQ322" s="1010"/>
      <c r="AR322" s="1010"/>
      <c r="AS322" s="1010"/>
      <c r="AT322" s="1010"/>
      <c r="AU322" s="1010"/>
      <c r="AV322" s="1010"/>
      <c r="AW322" s="1010"/>
    </row>
    <row r="323" spans="1:49" s="33" customFormat="1" x14ac:dyDescent="0.2">
      <c r="A323" s="1010"/>
      <c r="B323" s="1029"/>
      <c r="C323" s="1030"/>
      <c r="D323" s="1029"/>
      <c r="E323" s="1038"/>
      <c r="F323" s="1038"/>
      <c r="G323" s="1020"/>
      <c r="H323" s="1659"/>
      <c r="I323" s="1659"/>
      <c r="J323" s="1077" t="str">
        <f t="shared" si="21"/>
        <v/>
      </c>
      <c r="K323" s="1659"/>
      <c r="L323" s="1659"/>
      <c r="M323" s="1078" t="str">
        <f t="shared" si="22"/>
        <v/>
      </c>
      <c r="N323" s="1659"/>
      <c r="O323" s="1659"/>
      <c r="P323" s="1078" t="str">
        <f t="shared" si="23"/>
        <v/>
      </c>
      <c r="Q323" s="1659"/>
      <c r="R323" s="1659"/>
      <c r="S323" s="1078" t="str">
        <f t="shared" si="24"/>
        <v/>
      </c>
      <c r="T323" s="1661"/>
      <c r="U323" s="1659"/>
      <c r="V323" s="1078" t="str">
        <f t="shared" si="25"/>
        <v/>
      </c>
      <c r="W323" s="1010"/>
      <c r="X323" s="1010"/>
      <c r="Y323" s="1010"/>
      <c r="Z323" s="1010"/>
      <c r="AA323" s="1010"/>
      <c r="AB323" s="1010"/>
      <c r="AC323" s="1010"/>
      <c r="AD323" s="1010"/>
      <c r="AE323" s="1010"/>
      <c r="AF323" s="1010"/>
      <c r="AG323" s="1010"/>
      <c r="AH323" s="1010"/>
      <c r="AI323" s="1010"/>
      <c r="AJ323" s="1010"/>
      <c r="AK323" s="1010"/>
      <c r="AL323" s="1010"/>
      <c r="AM323" s="1010"/>
      <c r="AN323" s="1010"/>
      <c r="AO323" s="1010"/>
      <c r="AP323" s="1010"/>
      <c r="AQ323" s="1010"/>
      <c r="AR323" s="1010"/>
      <c r="AS323" s="1010"/>
      <c r="AT323" s="1010"/>
      <c r="AU323" s="1010"/>
      <c r="AV323" s="1010"/>
      <c r="AW323" s="1010"/>
    </row>
    <row r="324" spans="1:49" s="33" customFormat="1" x14ac:dyDescent="0.2">
      <c r="A324" s="1010"/>
      <c r="B324" s="1029"/>
      <c r="C324" s="1030"/>
      <c r="D324" s="1029"/>
      <c r="E324" s="1038"/>
      <c r="F324" s="1038"/>
      <c r="G324" s="1020"/>
      <c r="H324" s="1659"/>
      <c r="I324" s="1659"/>
      <c r="J324" s="1077" t="str">
        <f t="shared" si="21"/>
        <v/>
      </c>
      <c r="K324" s="1659"/>
      <c r="L324" s="1659"/>
      <c r="M324" s="1078" t="str">
        <f t="shared" si="22"/>
        <v/>
      </c>
      <c r="N324" s="1659"/>
      <c r="O324" s="1659"/>
      <c r="P324" s="1078" t="str">
        <f t="shared" si="23"/>
        <v/>
      </c>
      <c r="Q324" s="1659"/>
      <c r="R324" s="1659"/>
      <c r="S324" s="1078" t="str">
        <f t="shared" si="24"/>
        <v/>
      </c>
      <c r="T324" s="1661"/>
      <c r="U324" s="1659"/>
      <c r="V324" s="1078" t="str">
        <f t="shared" si="25"/>
        <v/>
      </c>
      <c r="W324" s="1010"/>
      <c r="X324" s="1010"/>
      <c r="Y324" s="1010"/>
      <c r="Z324" s="1010"/>
      <c r="AA324" s="1010"/>
      <c r="AB324" s="1010"/>
      <c r="AC324" s="1010"/>
      <c r="AD324" s="1010"/>
      <c r="AE324" s="1010"/>
      <c r="AF324" s="1010"/>
      <c r="AG324" s="1010"/>
      <c r="AH324" s="1010"/>
      <c r="AI324" s="1010"/>
      <c r="AJ324" s="1010"/>
      <c r="AK324" s="1010"/>
      <c r="AL324" s="1010"/>
      <c r="AM324" s="1010"/>
      <c r="AN324" s="1010"/>
      <c r="AO324" s="1010"/>
      <c r="AP324" s="1010"/>
      <c r="AQ324" s="1010"/>
      <c r="AR324" s="1010"/>
      <c r="AS324" s="1010"/>
      <c r="AT324" s="1010"/>
      <c r="AU324" s="1010"/>
      <c r="AV324" s="1010"/>
      <c r="AW324" s="1010"/>
    </row>
    <row r="325" spans="1:49" s="33" customFormat="1" x14ac:dyDescent="0.2">
      <c r="A325" s="1010"/>
      <c r="B325" s="1029"/>
      <c r="C325" s="1030"/>
      <c r="D325" s="1029"/>
      <c r="E325" s="1038"/>
      <c r="F325" s="1038"/>
      <c r="G325" s="1020"/>
      <c r="H325" s="1659"/>
      <c r="I325" s="1659"/>
      <c r="J325" s="1077" t="str">
        <f t="shared" si="21"/>
        <v/>
      </c>
      <c r="K325" s="1659"/>
      <c r="L325" s="1659"/>
      <c r="M325" s="1078" t="str">
        <f t="shared" si="22"/>
        <v/>
      </c>
      <c r="N325" s="1659"/>
      <c r="O325" s="1659"/>
      <c r="P325" s="1078" t="str">
        <f t="shared" si="23"/>
        <v/>
      </c>
      <c r="Q325" s="1659"/>
      <c r="R325" s="1659"/>
      <c r="S325" s="1078" t="str">
        <f t="shared" si="24"/>
        <v/>
      </c>
      <c r="T325" s="1661"/>
      <c r="U325" s="1659"/>
      <c r="V325" s="1078" t="str">
        <f t="shared" si="25"/>
        <v/>
      </c>
      <c r="W325" s="1010"/>
      <c r="X325" s="1010"/>
      <c r="Y325" s="1010"/>
      <c r="Z325" s="1010"/>
      <c r="AA325" s="1010"/>
      <c r="AB325" s="1010"/>
      <c r="AC325" s="1010"/>
      <c r="AD325" s="1010"/>
      <c r="AE325" s="1010"/>
      <c r="AF325" s="1010"/>
      <c r="AG325" s="1010"/>
      <c r="AH325" s="1010"/>
      <c r="AI325" s="1010"/>
      <c r="AJ325" s="1010"/>
      <c r="AK325" s="1010"/>
      <c r="AL325" s="1010"/>
      <c r="AM325" s="1010"/>
      <c r="AN325" s="1010"/>
      <c r="AO325" s="1010"/>
      <c r="AP325" s="1010"/>
      <c r="AQ325" s="1010"/>
      <c r="AR325" s="1010"/>
      <c r="AS325" s="1010"/>
      <c r="AT325" s="1010"/>
      <c r="AU325" s="1010"/>
      <c r="AV325" s="1010"/>
      <c r="AW325" s="1010"/>
    </row>
    <row r="326" spans="1:49" s="33" customFormat="1" x14ac:dyDescent="0.2">
      <c r="A326" s="1010"/>
      <c r="B326" s="1029"/>
      <c r="C326" s="1030"/>
      <c r="D326" s="1029"/>
      <c r="E326" s="1038"/>
      <c r="F326" s="1038"/>
      <c r="G326" s="1020"/>
      <c r="H326" s="1659"/>
      <c r="I326" s="1659"/>
      <c r="J326" s="1077" t="str">
        <f t="shared" si="21"/>
        <v/>
      </c>
      <c r="K326" s="1659"/>
      <c r="L326" s="1659"/>
      <c r="M326" s="1078" t="str">
        <f t="shared" si="22"/>
        <v/>
      </c>
      <c r="N326" s="1659"/>
      <c r="O326" s="1659"/>
      <c r="P326" s="1078" t="str">
        <f t="shared" si="23"/>
        <v/>
      </c>
      <c r="Q326" s="1659"/>
      <c r="R326" s="1659"/>
      <c r="S326" s="1078" t="str">
        <f t="shared" si="24"/>
        <v/>
      </c>
      <c r="T326" s="1661"/>
      <c r="U326" s="1659"/>
      <c r="V326" s="1078" t="str">
        <f t="shared" si="25"/>
        <v/>
      </c>
      <c r="W326" s="1010"/>
      <c r="X326" s="1010"/>
      <c r="Y326" s="1010"/>
      <c r="Z326" s="1010"/>
      <c r="AA326" s="1010"/>
      <c r="AB326" s="1010"/>
      <c r="AC326" s="1010"/>
      <c r="AD326" s="1010"/>
      <c r="AE326" s="1010"/>
      <c r="AF326" s="1010"/>
      <c r="AG326" s="1010"/>
      <c r="AH326" s="1010"/>
      <c r="AI326" s="1010"/>
      <c r="AJ326" s="1010"/>
      <c r="AK326" s="1010"/>
      <c r="AL326" s="1010"/>
      <c r="AM326" s="1010"/>
      <c r="AN326" s="1010"/>
      <c r="AO326" s="1010"/>
      <c r="AP326" s="1010"/>
      <c r="AQ326" s="1010"/>
      <c r="AR326" s="1010"/>
      <c r="AS326" s="1010"/>
      <c r="AT326" s="1010"/>
      <c r="AU326" s="1010"/>
      <c r="AV326" s="1010"/>
      <c r="AW326" s="1010"/>
    </row>
    <row r="327" spans="1:49" s="33" customFormat="1" x14ac:dyDescent="0.2">
      <c r="A327" s="1010"/>
      <c r="B327" s="1029"/>
      <c r="C327" s="1030"/>
      <c r="D327" s="1029"/>
      <c r="E327" s="1038"/>
      <c r="F327" s="1038"/>
      <c r="G327" s="1020"/>
      <c r="H327" s="1659"/>
      <c r="I327" s="1659"/>
      <c r="J327" s="1077" t="str">
        <f t="shared" si="21"/>
        <v/>
      </c>
      <c r="K327" s="1659"/>
      <c r="L327" s="1659"/>
      <c r="M327" s="1078" t="str">
        <f t="shared" si="22"/>
        <v/>
      </c>
      <c r="N327" s="1659"/>
      <c r="O327" s="1659"/>
      <c r="P327" s="1078" t="str">
        <f t="shared" si="23"/>
        <v/>
      </c>
      <c r="Q327" s="1659"/>
      <c r="R327" s="1659"/>
      <c r="S327" s="1078" t="str">
        <f t="shared" si="24"/>
        <v/>
      </c>
      <c r="T327" s="1661"/>
      <c r="U327" s="1659"/>
      <c r="V327" s="1078" t="str">
        <f t="shared" si="25"/>
        <v/>
      </c>
      <c r="W327" s="1010"/>
      <c r="X327" s="1010"/>
      <c r="Y327" s="1010"/>
      <c r="Z327" s="1010"/>
      <c r="AA327" s="1010"/>
      <c r="AB327" s="1010"/>
      <c r="AC327" s="1010"/>
      <c r="AD327" s="1010"/>
      <c r="AE327" s="1010"/>
      <c r="AF327" s="1010"/>
      <c r="AG327" s="1010"/>
      <c r="AH327" s="1010"/>
      <c r="AI327" s="1010"/>
      <c r="AJ327" s="1010"/>
      <c r="AK327" s="1010"/>
      <c r="AL327" s="1010"/>
      <c r="AM327" s="1010"/>
      <c r="AN327" s="1010"/>
      <c r="AO327" s="1010"/>
      <c r="AP327" s="1010"/>
      <c r="AQ327" s="1010"/>
      <c r="AR327" s="1010"/>
      <c r="AS327" s="1010"/>
      <c r="AT327" s="1010"/>
      <c r="AU327" s="1010"/>
      <c r="AV327" s="1010"/>
      <c r="AW327" s="1010"/>
    </row>
    <row r="328" spans="1:49" s="33" customFormat="1" x14ac:dyDescent="0.2">
      <c r="A328" s="1010"/>
      <c r="B328" s="1029"/>
      <c r="C328" s="1030"/>
      <c r="D328" s="1029"/>
      <c r="E328" s="1038"/>
      <c r="F328" s="1038"/>
      <c r="G328" s="1020"/>
      <c r="H328" s="1659"/>
      <c r="I328" s="1659"/>
      <c r="J328" s="1077" t="str">
        <f t="shared" si="21"/>
        <v/>
      </c>
      <c r="K328" s="1659"/>
      <c r="L328" s="1659"/>
      <c r="M328" s="1078" t="str">
        <f t="shared" si="22"/>
        <v/>
      </c>
      <c r="N328" s="1659"/>
      <c r="O328" s="1659"/>
      <c r="P328" s="1078" t="str">
        <f t="shared" si="23"/>
        <v/>
      </c>
      <c r="Q328" s="1659"/>
      <c r="R328" s="1659"/>
      <c r="S328" s="1078" t="str">
        <f t="shared" si="24"/>
        <v/>
      </c>
      <c r="T328" s="1661"/>
      <c r="U328" s="1659"/>
      <c r="V328" s="1078" t="str">
        <f t="shared" si="25"/>
        <v/>
      </c>
      <c r="W328" s="1010"/>
      <c r="X328" s="1010"/>
      <c r="Y328" s="1010"/>
      <c r="Z328" s="1010"/>
      <c r="AA328" s="1010"/>
      <c r="AB328" s="1010"/>
      <c r="AC328" s="1010"/>
      <c r="AD328" s="1010"/>
      <c r="AE328" s="1010"/>
      <c r="AF328" s="1010"/>
      <c r="AG328" s="1010"/>
      <c r="AH328" s="1010"/>
      <c r="AI328" s="1010"/>
      <c r="AJ328" s="1010"/>
      <c r="AK328" s="1010"/>
      <c r="AL328" s="1010"/>
      <c r="AM328" s="1010"/>
      <c r="AN328" s="1010"/>
      <c r="AO328" s="1010"/>
      <c r="AP328" s="1010"/>
      <c r="AQ328" s="1010"/>
      <c r="AR328" s="1010"/>
      <c r="AS328" s="1010"/>
      <c r="AT328" s="1010"/>
      <c r="AU328" s="1010"/>
      <c r="AV328" s="1010"/>
      <c r="AW328" s="1010"/>
    </row>
    <row r="329" spans="1:49" s="33" customFormat="1" x14ac:dyDescent="0.2">
      <c r="A329" s="1010"/>
      <c r="B329" s="1029"/>
      <c r="C329" s="1030"/>
      <c r="D329" s="1029"/>
      <c r="E329" s="1038"/>
      <c r="F329" s="1038"/>
      <c r="G329" s="1020"/>
      <c r="H329" s="1659"/>
      <c r="I329" s="1659"/>
      <c r="J329" s="1077" t="str">
        <f t="shared" si="21"/>
        <v/>
      </c>
      <c r="K329" s="1659"/>
      <c r="L329" s="1659"/>
      <c r="M329" s="1078" t="str">
        <f t="shared" si="22"/>
        <v/>
      </c>
      <c r="N329" s="1659"/>
      <c r="O329" s="1659"/>
      <c r="P329" s="1078" t="str">
        <f t="shared" si="23"/>
        <v/>
      </c>
      <c r="Q329" s="1659"/>
      <c r="R329" s="1659"/>
      <c r="S329" s="1078" t="str">
        <f t="shared" si="24"/>
        <v/>
      </c>
      <c r="T329" s="1661"/>
      <c r="U329" s="1659"/>
      <c r="V329" s="1078" t="str">
        <f t="shared" si="25"/>
        <v/>
      </c>
      <c r="W329" s="1010"/>
      <c r="X329" s="1010"/>
      <c r="Y329" s="1010"/>
      <c r="Z329" s="1010"/>
      <c r="AA329" s="1010"/>
      <c r="AB329" s="1010"/>
      <c r="AC329" s="1010"/>
      <c r="AD329" s="1010"/>
      <c r="AE329" s="1010"/>
      <c r="AF329" s="1010"/>
      <c r="AG329" s="1010"/>
      <c r="AH329" s="1010"/>
      <c r="AI329" s="1010"/>
      <c r="AJ329" s="1010"/>
      <c r="AK329" s="1010"/>
      <c r="AL329" s="1010"/>
      <c r="AM329" s="1010"/>
      <c r="AN329" s="1010"/>
      <c r="AO329" s="1010"/>
      <c r="AP329" s="1010"/>
      <c r="AQ329" s="1010"/>
      <c r="AR329" s="1010"/>
      <c r="AS329" s="1010"/>
      <c r="AT329" s="1010"/>
      <c r="AU329" s="1010"/>
      <c r="AV329" s="1010"/>
      <c r="AW329" s="1010"/>
    </row>
    <row r="330" spans="1:49" s="33" customFormat="1" x14ac:dyDescent="0.2">
      <c r="A330" s="1010"/>
      <c r="B330" s="1029"/>
      <c r="C330" s="1030"/>
      <c r="D330" s="1029"/>
      <c r="E330" s="1038"/>
      <c r="F330" s="1038"/>
      <c r="G330" s="1020"/>
      <c r="H330" s="1659"/>
      <c r="I330" s="1659"/>
      <c r="J330" s="1077" t="str">
        <f t="shared" si="21"/>
        <v/>
      </c>
      <c r="K330" s="1659"/>
      <c r="L330" s="1659"/>
      <c r="M330" s="1078" t="str">
        <f t="shared" si="22"/>
        <v/>
      </c>
      <c r="N330" s="1659"/>
      <c r="O330" s="1659"/>
      <c r="P330" s="1078" t="str">
        <f t="shared" si="23"/>
        <v/>
      </c>
      <c r="Q330" s="1659"/>
      <c r="R330" s="1659"/>
      <c r="S330" s="1078" t="str">
        <f t="shared" si="24"/>
        <v/>
      </c>
      <c r="T330" s="1661"/>
      <c r="U330" s="1659"/>
      <c r="V330" s="1078" t="str">
        <f t="shared" si="25"/>
        <v/>
      </c>
      <c r="W330" s="1010"/>
      <c r="X330" s="1010"/>
      <c r="Y330" s="1010"/>
      <c r="Z330" s="1010"/>
      <c r="AA330" s="1010"/>
      <c r="AB330" s="1010"/>
      <c r="AC330" s="1010"/>
      <c r="AD330" s="1010"/>
      <c r="AE330" s="1010"/>
      <c r="AF330" s="1010"/>
      <c r="AG330" s="1010"/>
      <c r="AH330" s="1010"/>
      <c r="AI330" s="1010"/>
      <c r="AJ330" s="1010"/>
      <c r="AK330" s="1010"/>
      <c r="AL330" s="1010"/>
      <c r="AM330" s="1010"/>
      <c r="AN330" s="1010"/>
      <c r="AO330" s="1010"/>
      <c r="AP330" s="1010"/>
      <c r="AQ330" s="1010"/>
      <c r="AR330" s="1010"/>
      <c r="AS330" s="1010"/>
      <c r="AT330" s="1010"/>
      <c r="AU330" s="1010"/>
      <c r="AV330" s="1010"/>
      <c r="AW330" s="1010"/>
    </row>
    <row r="331" spans="1:49" s="33" customFormat="1" x14ac:dyDescent="0.2">
      <c r="A331" s="1010"/>
      <c r="B331" s="1029"/>
      <c r="C331" s="1030"/>
      <c r="D331" s="1029"/>
      <c r="E331" s="1038"/>
      <c r="F331" s="1038"/>
      <c r="G331" s="1020"/>
      <c r="H331" s="1659"/>
      <c r="I331" s="1659"/>
      <c r="J331" s="1077" t="str">
        <f t="shared" si="21"/>
        <v/>
      </c>
      <c r="K331" s="1659"/>
      <c r="L331" s="1659"/>
      <c r="M331" s="1078" t="str">
        <f t="shared" si="22"/>
        <v/>
      </c>
      <c r="N331" s="1659"/>
      <c r="O331" s="1659"/>
      <c r="P331" s="1078" t="str">
        <f t="shared" si="23"/>
        <v/>
      </c>
      <c r="Q331" s="1659"/>
      <c r="R331" s="1659"/>
      <c r="S331" s="1078" t="str">
        <f t="shared" si="24"/>
        <v/>
      </c>
      <c r="T331" s="1661"/>
      <c r="U331" s="1659"/>
      <c r="V331" s="1078" t="str">
        <f t="shared" si="25"/>
        <v/>
      </c>
      <c r="W331" s="1010"/>
      <c r="X331" s="1010"/>
      <c r="Y331" s="1010"/>
      <c r="Z331" s="1010"/>
      <c r="AA331" s="1010"/>
      <c r="AB331" s="1010"/>
      <c r="AC331" s="1010"/>
      <c r="AD331" s="1010"/>
      <c r="AE331" s="1010"/>
      <c r="AF331" s="1010"/>
      <c r="AG331" s="1010"/>
      <c r="AH331" s="1010"/>
      <c r="AI331" s="1010"/>
      <c r="AJ331" s="1010"/>
      <c r="AK331" s="1010"/>
      <c r="AL331" s="1010"/>
      <c r="AM331" s="1010"/>
      <c r="AN331" s="1010"/>
      <c r="AO331" s="1010"/>
      <c r="AP331" s="1010"/>
      <c r="AQ331" s="1010"/>
      <c r="AR331" s="1010"/>
      <c r="AS331" s="1010"/>
      <c r="AT331" s="1010"/>
      <c r="AU331" s="1010"/>
      <c r="AV331" s="1010"/>
      <c r="AW331" s="1010"/>
    </row>
    <row r="332" spans="1:49" s="33" customFormat="1" x14ac:dyDescent="0.2">
      <c r="A332" s="1010"/>
      <c r="B332" s="1029"/>
      <c r="C332" s="1030"/>
      <c r="D332" s="1029"/>
      <c r="E332" s="1038"/>
      <c r="F332" s="1038"/>
      <c r="G332" s="1020"/>
      <c r="H332" s="1659"/>
      <c r="I332" s="1659"/>
      <c r="J332" s="1077" t="str">
        <f t="shared" si="21"/>
        <v/>
      </c>
      <c r="K332" s="1659"/>
      <c r="L332" s="1659"/>
      <c r="M332" s="1078" t="str">
        <f t="shared" si="22"/>
        <v/>
      </c>
      <c r="N332" s="1659"/>
      <c r="O332" s="1659"/>
      <c r="P332" s="1078" t="str">
        <f t="shared" si="23"/>
        <v/>
      </c>
      <c r="Q332" s="1659"/>
      <c r="R332" s="1659"/>
      <c r="S332" s="1078" t="str">
        <f t="shared" si="24"/>
        <v/>
      </c>
      <c r="T332" s="1661"/>
      <c r="U332" s="1659"/>
      <c r="V332" s="1078" t="str">
        <f t="shared" si="25"/>
        <v/>
      </c>
      <c r="W332" s="1010"/>
      <c r="X332" s="1010"/>
      <c r="Y332" s="1010"/>
      <c r="Z332" s="1010"/>
      <c r="AA332" s="1010"/>
      <c r="AB332" s="1010"/>
      <c r="AC332" s="1010"/>
      <c r="AD332" s="1010"/>
      <c r="AE332" s="1010"/>
      <c r="AF332" s="1010"/>
      <c r="AG332" s="1010"/>
      <c r="AH332" s="1010"/>
      <c r="AI332" s="1010"/>
      <c r="AJ332" s="1010"/>
      <c r="AK332" s="1010"/>
      <c r="AL332" s="1010"/>
      <c r="AM332" s="1010"/>
      <c r="AN332" s="1010"/>
      <c r="AO332" s="1010"/>
      <c r="AP332" s="1010"/>
      <c r="AQ332" s="1010"/>
      <c r="AR332" s="1010"/>
      <c r="AS332" s="1010"/>
      <c r="AT332" s="1010"/>
      <c r="AU332" s="1010"/>
      <c r="AV332" s="1010"/>
      <c r="AW332" s="1010"/>
    </row>
    <row r="333" spans="1:49" s="33" customFormat="1" x14ac:dyDescent="0.2">
      <c r="A333" s="1010"/>
      <c r="B333" s="1029"/>
      <c r="C333" s="1030"/>
      <c r="D333" s="1029"/>
      <c r="E333" s="1038"/>
      <c r="F333" s="1038"/>
      <c r="G333" s="1020"/>
      <c r="H333" s="1659"/>
      <c r="I333" s="1659"/>
      <c r="J333" s="1077" t="str">
        <f t="shared" si="21"/>
        <v/>
      </c>
      <c r="K333" s="1659"/>
      <c r="L333" s="1659"/>
      <c r="M333" s="1078" t="str">
        <f t="shared" si="22"/>
        <v/>
      </c>
      <c r="N333" s="1659"/>
      <c r="O333" s="1659"/>
      <c r="P333" s="1078" t="str">
        <f t="shared" si="23"/>
        <v/>
      </c>
      <c r="Q333" s="1659"/>
      <c r="R333" s="1659"/>
      <c r="S333" s="1078" t="str">
        <f t="shared" si="24"/>
        <v/>
      </c>
      <c r="T333" s="1661"/>
      <c r="U333" s="1659"/>
      <c r="V333" s="1078" t="str">
        <f t="shared" si="25"/>
        <v/>
      </c>
      <c r="W333" s="1010"/>
      <c r="X333" s="1010"/>
      <c r="Y333" s="1010"/>
      <c r="Z333" s="1010"/>
      <c r="AA333" s="1010"/>
      <c r="AB333" s="1010"/>
      <c r="AC333" s="1010"/>
      <c r="AD333" s="1010"/>
      <c r="AE333" s="1010"/>
      <c r="AF333" s="1010"/>
      <c r="AG333" s="1010"/>
      <c r="AH333" s="1010"/>
      <c r="AI333" s="1010"/>
      <c r="AJ333" s="1010"/>
      <c r="AK333" s="1010"/>
      <c r="AL333" s="1010"/>
      <c r="AM333" s="1010"/>
      <c r="AN333" s="1010"/>
      <c r="AO333" s="1010"/>
      <c r="AP333" s="1010"/>
      <c r="AQ333" s="1010"/>
      <c r="AR333" s="1010"/>
      <c r="AS333" s="1010"/>
      <c r="AT333" s="1010"/>
      <c r="AU333" s="1010"/>
      <c r="AV333" s="1010"/>
      <c r="AW333" s="1010"/>
    </row>
    <row r="334" spans="1:49" s="33" customFormat="1" x14ac:dyDescent="0.2">
      <c r="A334" s="1010"/>
      <c r="B334" s="1029"/>
      <c r="C334" s="1030"/>
      <c r="D334" s="1029"/>
      <c r="E334" s="1041"/>
      <c r="F334" s="1041"/>
      <c r="G334" s="1020"/>
      <c r="H334" s="1659"/>
      <c r="I334" s="1659"/>
      <c r="J334" s="1077" t="str">
        <f t="shared" si="21"/>
        <v/>
      </c>
      <c r="K334" s="1659"/>
      <c r="L334" s="1659"/>
      <c r="M334" s="1078" t="str">
        <f t="shared" si="22"/>
        <v/>
      </c>
      <c r="N334" s="1659"/>
      <c r="O334" s="1659"/>
      <c r="P334" s="1078" t="str">
        <f t="shared" si="23"/>
        <v/>
      </c>
      <c r="Q334" s="1659"/>
      <c r="R334" s="1659"/>
      <c r="S334" s="1078" t="str">
        <f t="shared" si="24"/>
        <v/>
      </c>
      <c r="T334" s="1661"/>
      <c r="U334" s="1659"/>
      <c r="V334" s="1078" t="str">
        <f t="shared" si="25"/>
        <v/>
      </c>
      <c r="W334" s="1010"/>
      <c r="X334" s="1010"/>
      <c r="Y334" s="1010"/>
      <c r="Z334" s="1010"/>
      <c r="AA334" s="1010"/>
      <c r="AB334" s="1010"/>
      <c r="AC334" s="1010"/>
      <c r="AD334" s="1010"/>
      <c r="AE334" s="1010"/>
      <c r="AF334" s="1010"/>
      <c r="AG334" s="1010"/>
      <c r="AH334" s="1010"/>
      <c r="AI334" s="1010"/>
      <c r="AJ334" s="1010"/>
      <c r="AK334" s="1010"/>
      <c r="AL334" s="1010"/>
      <c r="AM334" s="1010"/>
      <c r="AN334" s="1010"/>
      <c r="AO334" s="1010"/>
      <c r="AP334" s="1010"/>
      <c r="AQ334" s="1010"/>
      <c r="AR334" s="1010"/>
      <c r="AS334" s="1010"/>
      <c r="AT334" s="1010"/>
      <c r="AU334" s="1010"/>
      <c r="AV334" s="1010"/>
      <c r="AW334" s="1010"/>
    </row>
    <row r="335" spans="1:49" s="33" customFormat="1" x14ac:dyDescent="0.2">
      <c r="A335" s="1010"/>
      <c r="B335" s="1029"/>
      <c r="C335" s="1030"/>
      <c r="D335" s="1029"/>
      <c r="E335" s="1032"/>
      <c r="F335" s="1032"/>
      <c r="G335" s="1020"/>
      <c r="H335" s="1659"/>
      <c r="I335" s="1659"/>
      <c r="J335" s="1077" t="str">
        <f t="shared" si="21"/>
        <v/>
      </c>
      <c r="K335" s="1659"/>
      <c r="L335" s="1659"/>
      <c r="M335" s="1078" t="str">
        <f t="shared" si="22"/>
        <v/>
      </c>
      <c r="N335" s="1659"/>
      <c r="O335" s="1659"/>
      <c r="P335" s="1078" t="str">
        <f t="shared" si="23"/>
        <v/>
      </c>
      <c r="Q335" s="1659"/>
      <c r="R335" s="1659"/>
      <c r="S335" s="1078" t="str">
        <f t="shared" si="24"/>
        <v/>
      </c>
      <c r="T335" s="1661"/>
      <c r="U335" s="1659"/>
      <c r="V335" s="1078" t="str">
        <f t="shared" si="25"/>
        <v/>
      </c>
      <c r="W335" s="1010"/>
      <c r="X335" s="1010"/>
      <c r="Y335" s="1010"/>
      <c r="Z335" s="1010"/>
      <c r="AA335" s="1010"/>
      <c r="AB335" s="1010"/>
      <c r="AC335" s="1010"/>
      <c r="AD335" s="1010"/>
      <c r="AE335" s="1010"/>
      <c r="AF335" s="1010"/>
      <c r="AG335" s="1010"/>
      <c r="AH335" s="1010"/>
      <c r="AI335" s="1010"/>
      <c r="AJ335" s="1010"/>
      <c r="AK335" s="1010"/>
      <c r="AL335" s="1010"/>
      <c r="AM335" s="1010"/>
      <c r="AN335" s="1010"/>
      <c r="AO335" s="1010"/>
      <c r="AP335" s="1010"/>
      <c r="AQ335" s="1010"/>
      <c r="AR335" s="1010"/>
      <c r="AS335" s="1010"/>
      <c r="AT335" s="1010"/>
      <c r="AU335" s="1010"/>
      <c r="AV335" s="1010"/>
      <c r="AW335" s="1010"/>
    </row>
    <row r="336" spans="1:49" s="33" customFormat="1" x14ac:dyDescent="0.2">
      <c r="A336" s="1010"/>
      <c r="B336" s="1029"/>
      <c r="C336" s="1030"/>
      <c r="D336" s="1029"/>
      <c r="E336" s="1042"/>
      <c r="F336" s="1042"/>
      <c r="G336" s="1020"/>
      <c r="H336" s="1659"/>
      <c r="I336" s="1659"/>
      <c r="J336" s="1077" t="str">
        <f t="shared" si="21"/>
        <v/>
      </c>
      <c r="K336" s="1659"/>
      <c r="L336" s="1659"/>
      <c r="M336" s="1078" t="str">
        <f t="shared" si="22"/>
        <v/>
      </c>
      <c r="N336" s="1659"/>
      <c r="O336" s="1659"/>
      <c r="P336" s="1078" t="str">
        <f t="shared" si="23"/>
        <v/>
      </c>
      <c r="Q336" s="1659"/>
      <c r="R336" s="1659"/>
      <c r="S336" s="1078" t="str">
        <f t="shared" si="24"/>
        <v/>
      </c>
      <c r="T336" s="1661"/>
      <c r="U336" s="1659"/>
      <c r="V336" s="1078" t="str">
        <f t="shared" si="25"/>
        <v/>
      </c>
      <c r="W336" s="1010"/>
      <c r="X336" s="1010"/>
      <c r="Y336" s="1010"/>
      <c r="Z336" s="1010"/>
      <c r="AA336" s="1010"/>
      <c r="AB336" s="1010"/>
      <c r="AC336" s="1010"/>
      <c r="AD336" s="1010"/>
      <c r="AE336" s="1010"/>
      <c r="AF336" s="1010"/>
      <c r="AG336" s="1010"/>
      <c r="AH336" s="1010"/>
      <c r="AI336" s="1010"/>
      <c r="AJ336" s="1010"/>
      <c r="AK336" s="1010"/>
      <c r="AL336" s="1010"/>
      <c r="AM336" s="1010"/>
      <c r="AN336" s="1010"/>
      <c r="AO336" s="1010"/>
      <c r="AP336" s="1010"/>
      <c r="AQ336" s="1010"/>
      <c r="AR336" s="1010"/>
      <c r="AS336" s="1010"/>
      <c r="AT336" s="1010"/>
      <c r="AU336" s="1010"/>
      <c r="AV336" s="1010"/>
      <c r="AW336" s="1010"/>
    </row>
    <row r="337" spans="1:49" s="33" customFormat="1" x14ac:dyDescent="0.2">
      <c r="A337" s="1010"/>
      <c r="B337" s="1029"/>
      <c r="C337" s="1030"/>
      <c r="D337" s="1029"/>
      <c r="E337" s="1043"/>
      <c r="F337" s="1043"/>
      <c r="G337" s="1020"/>
      <c r="H337" s="1659"/>
      <c r="I337" s="1659"/>
      <c r="J337" s="1077" t="str">
        <f t="shared" si="21"/>
        <v/>
      </c>
      <c r="K337" s="1659"/>
      <c r="L337" s="1659"/>
      <c r="M337" s="1078" t="str">
        <f t="shared" si="22"/>
        <v/>
      </c>
      <c r="N337" s="1659"/>
      <c r="O337" s="1659"/>
      <c r="P337" s="1078" t="str">
        <f t="shared" si="23"/>
        <v/>
      </c>
      <c r="Q337" s="1659"/>
      <c r="R337" s="1659"/>
      <c r="S337" s="1078" t="str">
        <f t="shared" si="24"/>
        <v/>
      </c>
      <c r="T337" s="1661"/>
      <c r="U337" s="1659"/>
      <c r="V337" s="1078" t="str">
        <f t="shared" si="25"/>
        <v/>
      </c>
      <c r="W337" s="1010"/>
      <c r="X337" s="1010"/>
      <c r="Y337" s="1010"/>
      <c r="Z337" s="1010"/>
      <c r="AA337" s="1010"/>
      <c r="AB337" s="1010"/>
      <c r="AC337" s="1010"/>
      <c r="AD337" s="1010"/>
      <c r="AE337" s="1010"/>
      <c r="AF337" s="1010"/>
      <c r="AG337" s="1010"/>
      <c r="AH337" s="1010"/>
      <c r="AI337" s="1010"/>
      <c r="AJ337" s="1010"/>
      <c r="AK337" s="1010"/>
      <c r="AL337" s="1010"/>
      <c r="AM337" s="1010"/>
      <c r="AN337" s="1010"/>
      <c r="AO337" s="1010"/>
      <c r="AP337" s="1010"/>
      <c r="AQ337" s="1010"/>
      <c r="AR337" s="1010"/>
      <c r="AS337" s="1010"/>
      <c r="AT337" s="1010"/>
      <c r="AU337" s="1010"/>
      <c r="AV337" s="1010"/>
      <c r="AW337" s="1010"/>
    </row>
    <row r="338" spans="1:49" s="33" customFormat="1" x14ac:dyDescent="0.2">
      <c r="A338" s="1010"/>
      <c r="B338" s="1029"/>
      <c r="C338" s="1030"/>
      <c r="D338" s="1029"/>
      <c r="E338" s="1043"/>
      <c r="F338" s="1043"/>
      <c r="G338" s="1020"/>
      <c r="H338" s="1659"/>
      <c r="I338" s="1659"/>
      <c r="J338" s="1077" t="str">
        <f t="shared" si="21"/>
        <v/>
      </c>
      <c r="K338" s="1659"/>
      <c r="L338" s="1659"/>
      <c r="M338" s="1078" t="str">
        <f t="shared" si="22"/>
        <v/>
      </c>
      <c r="N338" s="1659"/>
      <c r="O338" s="1659"/>
      <c r="P338" s="1078" t="str">
        <f t="shared" si="23"/>
        <v/>
      </c>
      <c r="Q338" s="1659"/>
      <c r="R338" s="1659"/>
      <c r="S338" s="1078" t="str">
        <f t="shared" si="24"/>
        <v/>
      </c>
      <c r="T338" s="1661"/>
      <c r="U338" s="1659"/>
      <c r="V338" s="1078" t="str">
        <f t="shared" si="25"/>
        <v/>
      </c>
      <c r="W338" s="1010"/>
      <c r="X338" s="1010"/>
      <c r="Y338" s="1010"/>
      <c r="Z338" s="1010"/>
      <c r="AA338" s="1010"/>
      <c r="AB338" s="1010"/>
      <c r="AC338" s="1010"/>
      <c r="AD338" s="1010"/>
      <c r="AE338" s="1010"/>
      <c r="AF338" s="1010"/>
      <c r="AG338" s="1010"/>
      <c r="AH338" s="1010"/>
      <c r="AI338" s="1010"/>
      <c r="AJ338" s="1010"/>
      <c r="AK338" s="1010"/>
      <c r="AL338" s="1010"/>
      <c r="AM338" s="1010"/>
      <c r="AN338" s="1010"/>
      <c r="AO338" s="1010"/>
      <c r="AP338" s="1010"/>
      <c r="AQ338" s="1010"/>
      <c r="AR338" s="1010"/>
      <c r="AS338" s="1010"/>
      <c r="AT338" s="1010"/>
      <c r="AU338" s="1010"/>
      <c r="AV338" s="1010"/>
      <c r="AW338" s="1010"/>
    </row>
    <row r="339" spans="1:49" s="33" customFormat="1" x14ac:dyDescent="0.2">
      <c r="A339" s="1010"/>
      <c r="B339" s="1029"/>
      <c r="C339" s="1030"/>
      <c r="D339" s="1029"/>
      <c r="E339" s="1043"/>
      <c r="F339" s="1043"/>
      <c r="G339" s="1020"/>
      <c r="H339" s="1659"/>
      <c r="I339" s="1659"/>
      <c r="J339" s="1077" t="str">
        <f t="shared" si="21"/>
        <v/>
      </c>
      <c r="K339" s="1659"/>
      <c r="L339" s="1659"/>
      <c r="M339" s="1078" t="str">
        <f t="shared" si="22"/>
        <v/>
      </c>
      <c r="N339" s="1659"/>
      <c r="O339" s="1659"/>
      <c r="P339" s="1078" t="str">
        <f t="shared" si="23"/>
        <v/>
      </c>
      <c r="Q339" s="1659"/>
      <c r="R339" s="1659"/>
      <c r="S339" s="1078" t="str">
        <f t="shared" si="24"/>
        <v/>
      </c>
      <c r="T339" s="1661"/>
      <c r="U339" s="1659"/>
      <c r="V339" s="1078" t="str">
        <f t="shared" si="25"/>
        <v/>
      </c>
      <c r="W339" s="1010"/>
      <c r="X339" s="1010"/>
      <c r="Y339" s="1010"/>
      <c r="Z339" s="1010"/>
      <c r="AA339" s="1010"/>
      <c r="AB339" s="1010"/>
      <c r="AC339" s="1010"/>
      <c r="AD339" s="1010"/>
      <c r="AE339" s="1010"/>
      <c r="AF339" s="1010"/>
      <c r="AG339" s="1010"/>
      <c r="AH339" s="1010"/>
      <c r="AI339" s="1010"/>
      <c r="AJ339" s="1010"/>
      <c r="AK339" s="1010"/>
      <c r="AL339" s="1010"/>
      <c r="AM339" s="1010"/>
      <c r="AN339" s="1010"/>
      <c r="AO339" s="1010"/>
      <c r="AP339" s="1010"/>
      <c r="AQ339" s="1010"/>
      <c r="AR339" s="1010"/>
      <c r="AS339" s="1010"/>
      <c r="AT339" s="1010"/>
      <c r="AU339" s="1010"/>
      <c r="AV339" s="1010"/>
      <c r="AW339" s="1010"/>
    </row>
    <row r="340" spans="1:49" s="33" customFormat="1" x14ac:dyDescent="0.2">
      <c r="A340" s="1010"/>
      <c r="B340" s="1029"/>
      <c r="C340" s="1030"/>
      <c r="D340" s="1029"/>
      <c r="E340" s="1043"/>
      <c r="F340" s="1043"/>
      <c r="G340" s="1020"/>
      <c r="H340" s="1659"/>
      <c r="I340" s="1659"/>
      <c r="J340" s="1077" t="str">
        <f t="shared" si="21"/>
        <v/>
      </c>
      <c r="K340" s="1659"/>
      <c r="L340" s="1659"/>
      <c r="M340" s="1078" t="str">
        <f t="shared" si="22"/>
        <v/>
      </c>
      <c r="N340" s="1659"/>
      <c r="O340" s="1659"/>
      <c r="P340" s="1078" t="str">
        <f t="shared" si="23"/>
        <v/>
      </c>
      <c r="Q340" s="1659"/>
      <c r="R340" s="1659"/>
      <c r="S340" s="1078" t="str">
        <f t="shared" si="24"/>
        <v/>
      </c>
      <c r="T340" s="1661"/>
      <c r="U340" s="1659"/>
      <c r="V340" s="1078" t="str">
        <f t="shared" si="25"/>
        <v/>
      </c>
      <c r="W340" s="1010"/>
      <c r="X340" s="1010"/>
      <c r="Y340" s="1010"/>
      <c r="Z340" s="1010"/>
      <c r="AA340" s="1010"/>
      <c r="AB340" s="1010"/>
      <c r="AC340" s="1010"/>
      <c r="AD340" s="1010"/>
      <c r="AE340" s="1010"/>
      <c r="AF340" s="1010"/>
      <c r="AG340" s="1010"/>
      <c r="AH340" s="1010"/>
      <c r="AI340" s="1010"/>
      <c r="AJ340" s="1010"/>
      <c r="AK340" s="1010"/>
      <c r="AL340" s="1010"/>
      <c r="AM340" s="1010"/>
      <c r="AN340" s="1010"/>
      <c r="AO340" s="1010"/>
      <c r="AP340" s="1010"/>
      <c r="AQ340" s="1010"/>
      <c r="AR340" s="1010"/>
      <c r="AS340" s="1010"/>
      <c r="AT340" s="1010"/>
      <c r="AU340" s="1010"/>
      <c r="AV340" s="1010"/>
      <c r="AW340" s="1010"/>
    </row>
    <row r="341" spans="1:49" s="33" customFormat="1" x14ac:dyDescent="0.2">
      <c r="A341" s="1010"/>
      <c r="B341" s="1029"/>
      <c r="C341" s="1030"/>
      <c r="D341" s="1029"/>
      <c r="E341" s="1043"/>
      <c r="F341" s="1043"/>
      <c r="G341" s="1020"/>
      <c r="H341" s="1659"/>
      <c r="I341" s="1659"/>
      <c r="J341" s="1077" t="str">
        <f t="shared" si="21"/>
        <v/>
      </c>
      <c r="K341" s="1659"/>
      <c r="L341" s="1659"/>
      <c r="M341" s="1078" t="str">
        <f t="shared" si="22"/>
        <v/>
      </c>
      <c r="N341" s="1659"/>
      <c r="O341" s="1659"/>
      <c r="P341" s="1078" t="str">
        <f t="shared" si="23"/>
        <v/>
      </c>
      <c r="Q341" s="1659"/>
      <c r="R341" s="1659"/>
      <c r="S341" s="1078" t="str">
        <f t="shared" si="24"/>
        <v/>
      </c>
      <c r="T341" s="1661"/>
      <c r="U341" s="1659"/>
      <c r="V341" s="1078" t="str">
        <f t="shared" si="25"/>
        <v/>
      </c>
      <c r="W341" s="1010"/>
      <c r="X341" s="1010"/>
      <c r="Y341" s="1010"/>
      <c r="Z341" s="1010"/>
      <c r="AA341" s="1010"/>
      <c r="AB341" s="1010"/>
      <c r="AC341" s="1010"/>
      <c r="AD341" s="1010"/>
      <c r="AE341" s="1010"/>
      <c r="AF341" s="1010"/>
      <c r="AG341" s="1010"/>
      <c r="AH341" s="1010"/>
      <c r="AI341" s="1010"/>
      <c r="AJ341" s="1010"/>
      <c r="AK341" s="1010"/>
      <c r="AL341" s="1010"/>
      <c r="AM341" s="1010"/>
      <c r="AN341" s="1010"/>
      <c r="AO341" s="1010"/>
      <c r="AP341" s="1010"/>
      <c r="AQ341" s="1010"/>
      <c r="AR341" s="1010"/>
      <c r="AS341" s="1010"/>
      <c r="AT341" s="1010"/>
      <c r="AU341" s="1010"/>
      <c r="AV341" s="1010"/>
      <c r="AW341" s="1010"/>
    </row>
    <row r="342" spans="1:49" s="33" customFormat="1" x14ac:dyDescent="0.2">
      <c r="A342" s="1010"/>
      <c r="B342" s="1029"/>
      <c r="C342" s="1030"/>
      <c r="D342" s="1029"/>
      <c r="E342" s="1043"/>
      <c r="F342" s="1043"/>
      <c r="G342" s="1020"/>
      <c r="H342" s="1659"/>
      <c r="I342" s="1659"/>
      <c r="J342" s="1077" t="str">
        <f t="shared" si="21"/>
        <v/>
      </c>
      <c r="K342" s="1659"/>
      <c r="L342" s="1659"/>
      <c r="M342" s="1078" t="str">
        <f t="shared" si="22"/>
        <v/>
      </c>
      <c r="N342" s="1659"/>
      <c r="O342" s="1659"/>
      <c r="P342" s="1078" t="str">
        <f t="shared" si="23"/>
        <v/>
      </c>
      <c r="Q342" s="1659"/>
      <c r="R342" s="1659"/>
      <c r="S342" s="1078" t="str">
        <f t="shared" si="24"/>
        <v/>
      </c>
      <c r="T342" s="1661"/>
      <c r="U342" s="1659"/>
      <c r="V342" s="1078" t="str">
        <f t="shared" si="25"/>
        <v/>
      </c>
      <c r="W342" s="1010"/>
      <c r="X342" s="1010"/>
      <c r="Y342" s="1010"/>
      <c r="Z342" s="1010"/>
      <c r="AA342" s="1010"/>
      <c r="AB342" s="1010"/>
      <c r="AC342" s="1010"/>
      <c r="AD342" s="1010"/>
      <c r="AE342" s="1010"/>
      <c r="AF342" s="1010"/>
      <c r="AG342" s="1010"/>
      <c r="AH342" s="1010"/>
      <c r="AI342" s="1010"/>
      <c r="AJ342" s="1010"/>
      <c r="AK342" s="1010"/>
      <c r="AL342" s="1010"/>
      <c r="AM342" s="1010"/>
      <c r="AN342" s="1010"/>
      <c r="AO342" s="1010"/>
      <c r="AP342" s="1010"/>
      <c r="AQ342" s="1010"/>
      <c r="AR342" s="1010"/>
      <c r="AS342" s="1010"/>
      <c r="AT342" s="1010"/>
      <c r="AU342" s="1010"/>
      <c r="AV342" s="1010"/>
      <c r="AW342" s="1010"/>
    </row>
    <row r="343" spans="1:49" s="33" customFormat="1" x14ac:dyDescent="0.2">
      <c r="A343" s="1010"/>
      <c r="B343" s="1029"/>
      <c r="C343" s="1030"/>
      <c r="D343" s="1029"/>
      <c r="E343" s="1043"/>
      <c r="F343" s="1043"/>
      <c r="G343" s="1020"/>
      <c r="H343" s="1659"/>
      <c r="I343" s="1659"/>
      <c r="J343" s="1077" t="str">
        <f t="shared" si="21"/>
        <v/>
      </c>
      <c r="K343" s="1659"/>
      <c r="L343" s="1659"/>
      <c r="M343" s="1078" t="str">
        <f t="shared" si="22"/>
        <v/>
      </c>
      <c r="N343" s="1659"/>
      <c r="O343" s="1659"/>
      <c r="P343" s="1078" t="str">
        <f t="shared" si="23"/>
        <v/>
      </c>
      <c r="Q343" s="1659"/>
      <c r="R343" s="1659"/>
      <c r="S343" s="1078" t="str">
        <f t="shared" si="24"/>
        <v/>
      </c>
      <c r="T343" s="1661"/>
      <c r="U343" s="1659"/>
      <c r="V343" s="1078" t="str">
        <f t="shared" si="25"/>
        <v/>
      </c>
      <c r="W343" s="1010"/>
      <c r="X343" s="1010"/>
      <c r="Y343" s="1010"/>
      <c r="Z343" s="1010"/>
      <c r="AA343" s="1010"/>
      <c r="AB343" s="1010"/>
      <c r="AC343" s="1010"/>
      <c r="AD343" s="1010"/>
      <c r="AE343" s="1010"/>
      <c r="AF343" s="1010"/>
      <c r="AG343" s="1010"/>
      <c r="AH343" s="1010"/>
      <c r="AI343" s="1010"/>
      <c r="AJ343" s="1010"/>
      <c r="AK343" s="1010"/>
      <c r="AL343" s="1010"/>
      <c r="AM343" s="1010"/>
      <c r="AN343" s="1010"/>
      <c r="AO343" s="1010"/>
      <c r="AP343" s="1010"/>
      <c r="AQ343" s="1010"/>
      <c r="AR343" s="1010"/>
      <c r="AS343" s="1010"/>
      <c r="AT343" s="1010"/>
      <c r="AU343" s="1010"/>
      <c r="AV343" s="1010"/>
      <c r="AW343" s="1010"/>
    </row>
    <row r="344" spans="1:49" s="33" customFormat="1" x14ac:dyDescent="0.2">
      <c r="A344" s="1010"/>
      <c r="B344" s="1029"/>
      <c r="C344" s="1030"/>
      <c r="D344" s="1029"/>
      <c r="E344" s="1044"/>
      <c r="F344" s="1044"/>
      <c r="G344" s="1020"/>
      <c r="H344" s="1659"/>
      <c r="I344" s="1659"/>
      <c r="J344" s="1077" t="str">
        <f t="shared" si="21"/>
        <v/>
      </c>
      <c r="K344" s="1659"/>
      <c r="L344" s="1659"/>
      <c r="M344" s="1078" t="str">
        <f t="shared" si="22"/>
        <v/>
      </c>
      <c r="N344" s="1659"/>
      <c r="O344" s="1659"/>
      <c r="P344" s="1078" t="str">
        <f t="shared" si="23"/>
        <v/>
      </c>
      <c r="Q344" s="1659"/>
      <c r="R344" s="1659"/>
      <c r="S344" s="1078" t="str">
        <f t="shared" si="24"/>
        <v/>
      </c>
      <c r="T344" s="1661"/>
      <c r="U344" s="1659"/>
      <c r="V344" s="1078" t="str">
        <f t="shared" si="25"/>
        <v/>
      </c>
      <c r="W344" s="1010"/>
      <c r="X344" s="1010"/>
      <c r="Y344" s="1010"/>
      <c r="Z344" s="1010"/>
      <c r="AA344" s="1010"/>
      <c r="AB344" s="1010"/>
      <c r="AC344" s="1010"/>
      <c r="AD344" s="1010"/>
      <c r="AE344" s="1010"/>
      <c r="AF344" s="1010"/>
      <c r="AG344" s="1010"/>
      <c r="AH344" s="1010"/>
      <c r="AI344" s="1010"/>
      <c r="AJ344" s="1010"/>
      <c r="AK344" s="1010"/>
      <c r="AL344" s="1010"/>
      <c r="AM344" s="1010"/>
      <c r="AN344" s="1010"/>
      <c r="AO344" s="1010"/>
      <c r="AP344" s="1010"/>
      <c r="AQ344" s="1010"/>
      <c r="AR344" s="1010"/>
      <c r="AS344" s="1010"/>
      <c r="AT344" s="1010"/>
      <c r="AU344" s="1010"/>
      <c r="AV344" s="1010"/>
      <c r="AW344" s="1010"/>
    </row>
    <row r="345" spans="1:49" s="33" customFormat="1" x14ac:dyDescent="0.2">
      <c r="A345" s="1010"/>
      <c r="B345" s="1029"/>
      <c r="C345" s="1030"/>
      <c r="D345" s="1029"/>
      <c r="E345" s="1044"/>
      <c r="F345" s="1044"/>
      <c r="G345" s="1020"/>
      <c r="H345" s="1659"/>
      <c r="I345" s="1659"/>
      <c r="J345" s="1077" t="str">
        <f t="shared" si="21"/>
        <v/>
      </c>
      <c r="K345" s="1659"/>
      <c r="L345" s="1659"/>
      <c r="M345" s="1078" t="str">
        <f t="shared" si="22"/>
        <v/>
      </c>
      <c r="N345" s="1659"/>
      <c r="O345" s="1659"/>
      <c r="P345" s="1078" t="str">
        <f t="shared" si="23"/>
        <v/>
      </c>
      <c r="Q345" s="1659"/>
      <c r="R345" s="1659"/>
      <c r="S345" s="1078" t="str">
        <f t="shared" si="24"/>
        <v/>
      </c>
      <c r="T345" s="1661"/>
      <c r="U345" s="1659"/>
      <c r="V345" s="1078" t="str">
        <f t="shared" si="25"/>
        <v/>
      </c>
      <c r="W345" s="1010"/>
      <c r="X345" s="1010"/>
      <c r="Y345" s="1010"/>
      <c r="Z345" s="1010"/>
      <c r="AA345" s="1010"/>
      <c r="AB345" s="1010"/>
      <c r="AC345" s="1010"/>
      <c r="AD345" s="1010"/>
      <c r="AE345" s="1010"/>
      <c r="AF345" s="1010"/>
      <c r="AG345" s="1010"/>
      <c r="AH345" s="1010"/>
      <c r="AI345" s="1010"/>
      <c r="AJ345" s="1010"/>
      <c r="AK345" s="1010"/>
      <c r="AL345" s="1010"/>
      <c r="AM345" s="1010"/>
      <c r="AN345" s="1010"/>
      <c r="AO345" s="1010"/>
      <c r="AP345" s="1010"/>
      <c r="AQ345" s="1010"/>
      <c r="AR345" s="1010"/>
      <c r="AS345" s="1010"/>
      <c r="AT345" s="1010"/>
      <c r="AU345" s="1010"/>
      <c r="AV345" s="1010"/>
      <c r="AW345" s="1010"/>
    </row>
    <row r="346" spans="1:49" s="33" customFormat="1" x14ac:dyDescent="0.2">
      <c r="A346" s="1010"/>
      <c r="B346" s="1029"/>
      <c r="C346" s="1030"/>
      <c r="D346" s="1029"/>
      <c r="E346" s="1044"/>
      <c r="F346" s="1044"/>
      <c r="G346" s="1020"/>
      <c r="H346" s="1659"/>
      <c r="I346" s="1659"/>
      <c r="J346" s="1077" t="str">
        <f t="shared" ref="J346:J409" si="26">IF(AND(H346=0,I346=0),"",IF(I346&lt;&gt;0,IF(I346&gt;H346,100,I346/H346*100),0))</f>
        <v/>
      </c>
      <c r="K346" s="1659"/>
      <c r="L346" s="1659"/>
      <c r="M346" s="1078" t="str">
        <f t="shared" ref="M346:M409" si="27">IF(AND(K346=0,L346=0),"",IF(L346&lt;&gt;0,IF(L346&gt;K346,100,L346/K346*100),0))</f>
        <v/>
      </c>
      <c r="N346" s="1659"/>
      <c r="O346" s="1659"/>
      <c r="P346" s="1078" t="str">
        <f t="shared" ref="P346:P409" si="28">IF(AND(N346=0,O346=0),"",IF(O346&lt;&gt;0,IF(O346&gt;N346,100,O346/N346*100),0))</f>
        <v/>
      </c>
      <c r="Q346" s="1659"/>
      <c r="R346" s="1659"/>
      <c r="S346" s="1078" t="str">
        <f t="shared" ref="S346:S409" si="29">IF(AND(Q346=0,R346=0),"",IF(R346&lt;&gt;0,IF(R346&lt;=Q346,100,100-(R346-Q346)),0))</f>
        <v/>
      </c>
      <c r="T346" s="1661"/>
      <c r="U346" s="1659"/>
      <c r="V346" s="1078" t="str">
        <f t="shared" ref="V346:V409" si="30">IF(AND(T346=0,U346=0),"",IF(U346&lt;&gt;0,IF(U346&gt;T346,100,U346/T346*100),0))</f>
        <v/>
      </c>
      <c r="W346" s="1010"/>
      <c r="X346" s="1010"/>
      <c r="Y346" s="1010"/>
      <c r="Z346" s="1010"/>
      <c r="AA346" s="1010"/>
      <c r="AB346" s="1010"/>
      <c r="AC346" s="1010"/>
      <c r="AD346" s="1010"/>
      <c r="AE346" s="1010"/>
      <c r="AF346" s="1010"/>
      <c r="AG346" s="1010"/>
      <c r="AH346" s="1010"/>
      <c r="AI346" s="1010"/>
      <c r="AJ346" s="1010"/>
      <c r="AK346" s="1010"/>
      <c r="AL346" s="1010"/>
      <c r="AM346" s="1010"/>
      <c r="AN346" s="1010"/>
      <c r="AO346" s="1010"/>
      <c r="AP346" s="1010"/>
      <c r="AQ346" s="1010"/>
      <c r="AR346" s="1010"/>
      <c r="AS346" s="1010"/>
      <c r="AT346" s="1010"/>
      <c r="AU346" s="1010"/>
      <c r="AV346" s="1010"/>
      <c r="AW346" s="1010"/>
    </row>
    <row r="347" spans="1:49" s="33" customFormat="1" x14ac:dyDescent="0.2">
      <c r="A347" s="1010"/>
      <c r="B347" s="1029"/>
      <c r="C347" s="1030"/>
      <c r="D347" s="1029"/>
      <c r="E347" s="1044"/>
      <c r="F347" s="1044"/>
      <c r="G347" s="1020"/>
      <c r="H347" s="1659"/>
      <c r="I347" s="1659"/>
      <c r="J347" s="1077" t="str">
        <f t="shared" si="26"/>
        <v/>
      </c>
      <c r="K347" s="1659"/>
      <c r="L347" s="1659"/>
      <c r="M347" s="1078" t="str">
        <f t="shared" si="27"/>
        <v/>
      </c>
      <c r="N347" s="1659"/>
      <c r="O347" s="1659"/>
      <c r="P347" s="1078" t="str">
        <f t="shared" si="28"/>
        <v/>
      </c>
      <c r="Q347" s="1659"/>
      <c r="R347" s="1659"/>
      <c r="S347" s="1078" t="str">
        <f t="shared" si="29"/>
        <v/>
      </c>
      <c r="T347" s="1661"/>
      <c r="U347" s="1659"/>
      <c r="V347" s="1078" t="str">
        <f t="shared" si="30"/>
        <v/>
      </c>
      <c r="W347" s="1010"/>
      <c r="X347" s="1010"/>
      <c r="Y347" s="1010"/>
      <c r="Z347" s="1010"/>
      <c r="AA347" s="1010"/>
      <c r="AB347" s="1010"/>
      <c r="AC347" s="1010"/>
      <c r="AD347" s="1010"/>
      <c r="AE347" s="1010"/>
      <c r="AF347" s="1010"/>
      <c r="AG347" s="1010"/>
      <c r="AH347" s="1010"/>
      <c r="AI347" s="1010"/>
      <c r="AJ347" s="1010"/>
      <c r="AK347" s="1010"/>
      <c r="AL347" s="1010"/>
      <c r="AM347" s="1010"/>
      <c r="AN347" s="1010"/>
      <c r="AO347" s="1010"/>
      <c r="AP347" s="1010"/>
      <c r="AQ347" s="1010"/>
      <c r="AR347" s="1010"/>
      <c r="AS347" s="1010"/>
      <c r="AT347" s="1010"/>
      <c r="AU347" s="1010"/>
      <c r="AV347" s="1010"/>
      <c r="AW347" s="1010"/>
    </row>
    <row r="348" spans="1:49" s="33" customFormat="1" x14ac:dyDescent="0.2">
      <c r="A348" s="1010"/>
      <c r="B348" s="1029"/>
      <c r="C348" s="1030"/>
      <c r="D348" s="1029"/>
      <c r="E348" s="1044"/>
      <c r="F348" s="1044"/>
      <c r="G348" s="1020"/>
      <c r="H348" s="1659"/>
      <c r="I348" s="1659"/>
      <c r="J348" s="1077" t="str">
        <f t="shared" si="26"/>
        <v/>
      </c>
      <c r="K348" s="1659"/>
      <c r="L348" s="1659"/>
      <c r="M348" s="1078" t="str">
        <f t="shared" si="27"/>
        <v/>
      </c>
      <c r="N348" s="1659"/>
      <c r="O348" s="1659"/>
      <c r="P348" s="1078" t="str">
        <f t="shared" si="28"/>
        <v/>
      </c>
      <c r="Q348" s="1659"/>
      <c r="R348" s="1659"/>
      <c r="S348" s="1078" t="str">
        <f t="shared" si="29"/>
        <v/>
      </c>
      <c r="T348" s="1661"/>
      <c r="U348" s="1659"/>
      <c r="V348" s="1078" t="str">
        <f t="shared" si="30"/>
        <v/>
      </c>
      <c r="W348" s="1010"/>
      <c r="X348" s="1010"/>
      <c r="Y348" s="1010"/>
      <c r="Z348" s="1010"/>
      <c r="AA348" s="1010"/>
      <c r="AB348" s="1010"/>
      <c r="AC348" s="1010"/>
      <c r="AD348" s="1010"/>
      <c r="AE348" s="1010"/>
      <c r="AF348" s="1010"/>
      <c r="AG348" s="1010"/>
      <c r="AH348" s="1010"/>
      <c r="AI348" s="1010"/>
      <c r="AJ348" s="1010"/>
      <c r="AK348" s="1010"/>
      <c r="AL348" s="1010"/>
      <c r="AM348" s="1010"/>
      <c r="AN348" s="1010"/>
      <c r="AO348" s="1010"/>
      <c r="AP348" s="1010"/>
      <c r="AQ348" s="1010"/>
      <c r="AR348" s="1010"/>
      <c r="AS348" s="1010"/>
      <c r="AT348" s="1010"/>
      <c r="AU348" s="1010"/>
      <c r="AV348" s="1010"/>
      <c r="AW348" s="1010"/>
    </row>
    <row r="349" spans="1:49" s="33" customFormat="1" x14ac:dyDescent="0.2">
      <c r="A349" s="1010"/>
      <c r="B349" s="1029"/>
      <c r="C349" s="1030"/>
      <c r="D349" s="1029"/>
      <c r="E349" s="1044"/>
      <c r="F349" s="1044"/>
      <c r="G349" s="1020"/>
      <c r="H349" s="1659"/>
      <c r="I349" s="1659"/>
      <c r="J349" s="1077" t="str">
        <f t="shared" si="26"/>
        <v/>
      </c>
      <c r="K349" s="1659"/>
      <c r="L349" s="1659"/>
      <c r="M349" s="1078" t="str">
        <f t="shared" si="27"/>
        <v/>
      </c>
      <c r="N349" s="1659"/>
      <c r="O349" s="1659"/>
      <c r="P349" s="1078" t="str">
        <f t="shared" si="28"/>
        <v/>
      </c>
      <c r="Q349" s="1659"/>
      <c r="R349" s="1659"/>
      <c r="S349" s="1078" t="str">
        <f t="shared" si="29"/>
        <v/>
      </c>
      <c r="T349" s="1661"/>
      <c r="U349" s="1659"/>
      <c r="V349" s="1078" t="str">
        <f t="shared" si="30"/>
        <v/>
      </c>
      <c r="W349" s="1010"/>
      <c r="X349" s="1010"/>
      <c r="Y349" s="1010"/>
      <c r="Z349" s="1010"/>
      <c r="AA349" s="1010"/>
      <c r="AB349" s="1010"/>
      <c r="AC349" s="1010"/>
      <c r="AD349" s="1010"/>
      <c r="AE349" s="1010"/>
      <c r="AF349" s="1010"/>
      <c r="AG349" s="1010"/>
      <c r="AH349" s="1010"/>
      <c r="AI349" s="1010"/>
      <c r="AJ349" s="1010"/>
      <c r="AK349" s="1010"/>
      <c r="AL349" s="1010"/>
      <c r="AM349" s="1010"/>
      <c r="AN349" s="1010"/>
      <c r="AO349" s="1010"/>
      <c r="AP349" s="1010"/>
      <c r="AQ349" s="1010"/>
      <c r="AR349" s="1010"/>
      <c r="AS349" s="1010"/>
      <c r="AT349" s="1010"/>
      <c r="AU349" s="1010"/>
      <c r="AV349" s="1010"/>
      <c r="AW349" s="1010"/>
    </row>
    <row r="350" spans="1:49" s="33" customFormat="1" x14ac:dyDescent="0.2">
      <c r="A350" s="1010"/>
      <c r="B350" s="1029"/>
      <c r="C350" s="1030"/>
      <c r="D350" s="1029"/>
      <c r="E350" s="1045"/>
      <c r="F350" s="1046"/>
      <c r="G350" s="1020"/>
      <c r="H350" s="1660"/>
      <c r="I350" s="1660"/>
      <c r="J350" s="1077" t="str">
        <f t="shared" si="26"/>
        <v/>
      </c>
      <c r="K350" s="1660"/>
      <c r="L350" s="1660"/>
      <c r="M350" s="1078" t="str">
        <f t="shared" si="27"/>
        <v/>
      </c>
      <c r="N350" s="1660"/>
      <c r="O350" s="1660"/>
      <c r="P350" s="1078" t="str">
        <f t="shared" si="28"/>
        <v/>
      </c>
      <c r="Q350" s="1660"/>
      <c r="R350" s="1660"/>
      <c r="S350" s="1078" t="str">
        <f t="shared" si="29"/>
        <v/>
      </c>
      <c r="T350" s="1661"/>
      <c r="U350" s="1660"/>
      <c r="V350" s="1078" t="str">
        <f t="shared" si="30"/>
        <v/>
      </c>
      <c r="W350" s="1010"/>
      <c r="X350" s="1010"/>
      <c r="Y350" s="1010"/>
      <c r="Z350" s="1010"/>
      <c r="AA350" s="1010"/>
      <c r="AB350" s="1010"/>
      <c r="AC350" s="1010"/>
      <c r="AD350" s="1010"/>
      <c r="AE350" s="1010"/>
      <c r="AF350" s="1010"/>
      <c r="AG350" s="1010"/>
      <c r="AH350" s="1010"/>
      <c r="AI350" s="1010"/>
      <c r="AJ350" s="1010"/>
      <c r="AK350" s="1010"/>
      <c r="AL350" s="1010"/>
      <c r="AM350" s="1010"/>
      <c r="AN350" s="1010"/>
      <c r="AO350" s="1010"/>
      <c r="AP350" s="1010"/>
      <c r="AQ350" s="1010"/>
      <c r="AR350" s="1010"/>
      <c r="AS350" s="1010"/>
      <c r="AT350" s="1010"/>
      <c r="AU350" s="1010"/>
      <c r="AV350" s="1010"/>
      <c r="AW350" s="1010"/>
    </row>
    <row r="351" spans="1:49" s="33" customFormat="1" x14ac:dyDescent="0.2">
      <c r="A351" s="1010"/>
      <c r="B351" s="1029"/>
      <c r="C351" s="1030"/>
      <c r="D351" s="1029"/>
      <c r="E351" s="1044"/>
      <c r="F351" s="1044"/>
      <c r="G351" s="1020"/>
      <c r="H351" s="1659"/>
      <c r="I351" s="1659"/>
      <c r="J351" s="1077" t="str">
        <f t="shared" si="26"/>
        <v/>
      </c>
      <c r="K351" s="1659"/>
      <c r="L351" s="1659"/>
      <c r="M351" s="1078" t="str">
        <f t="shared" si="27"/>
        <v/>
      </c>
      <c r="N351" s="1659"/>
      <c r="O351" s="1659"/>
      <c r="P351" s="1078" t="str">
        <f t="shared" si="28"/>
        <v/>
      </c>
      <c r="Q351" s="1659"/>
      <c r="R351" s="1659"/>
      <c r="S351" s="1078" t="str">
        <f t="shared" si="29"/>
        <v/>
      </c>
      <c r="T351" s="1661"/>
      <c r="U351" s="1659"/>
      <c r="V351" s="1078" t="str">
        <f t="shared" si="30"/>
        <v/>
      </c>
      <c r="W351" s="1010"/>
      <c r="X351" s="1010"/>
      <c r="Y351" s="1010"/>
      <c r="Z351" s="1010"/>
      <c r="AA351" s="1010"/>
      <c r="AB351" s="1010"/>
      <c r="AC351" s="1010"/>
      <c r="AD351" s="1010"/>
      <c r="AE351" s="1010"/>
      <c r="AF351" s="1010"/>
      <c r="AG351" s="1010"/>
      <c r="AH351" s="1010"/>
      <c r="AI351" s="1010"/>
      <c r="AJ351" s="1010"/>
      <c r="AK351" s="1010"/>
      <c r="AL351" s="1010"/>
      <c r="AM351" s="1010"/>
      <c r="AN351" s="1010"/>
      <c r="AO351" s="1010"/>
      <c r="AP351" s="1010"/>
      <c r="AQ351" s="1010"/>
      <c r="AR351" s="1010"/>
      <c r="AS351" s="1010"/>
      <c r="AT351" s="1010"/>
      <c r="AU351" s="1010"/>
      <c r="AV351" s="1010"/>
      <c r="AW351" s="1010"/>
    </row>
    <row r="352" spans="1:49" s="33" customFormat="1" x14ac:dyDescent="0.2">
      <c r="A352" s="1010"/>
      <c r="B352" s="1029"/>
      <c r="C352" s="1030"/>
      <c r="D352" s="1029"/>
      <c r="E352" s="1044"/>
      <c r="F352" s="1044"/>
      <c r="G352" s="1020"/>
      <c r="H352" s="1659"/>
      <c r="I352" s="1659"/>
      <c r="J352" s="1077" t="str">
        <f t="shared" si="26"/>
        <v/>
      </c>
      <c r="K352" s="1659"/>
      <c r="L352" s="1659"/>
      <c r="M352" s="1078" t="str">
        <f t="shared" si="27"/>
        <v/>
      </c>
      <c r="N352" s="1659"/>
      <c r="O352" s="1659"/>
      <c r="P352" s="1078" t="str">
        <f t="shared" si="28"/>
        <v/>
      </c>
      <c r="Q352" s="1659"/>
      <c r="R352" s="1659"/>
      <c r="S352" s="1078" t="str">
        <f t="shared" si="29"/>
        <v/>
      </c>
      <c r="T352" s="1661"/>
      <c r="U352" s="1659"/>
      <c r="V352" s="1078" t="str">
        <f t="shared" si="30"/>
        <v/>
      </c>
      <c r="W352" s="1010"/>
      <c r="X352" s="1010"/>
      <c r="Y352" s="1010"/>
      <c r="Z352" s="1010"/>
      <c r="AA352" s="1010"/>
      <c r="AB352" s="1010"/>
      <c r="AC352" s="1010"/>
      <c r="AD352" s="1010"/>
      <c r="AE352" s="1010"/>
      <c r="AF352" s="1010"/>
      <c r="AG352" s="1010"/>
      <c r="AH352" s="1010"/>
      <c r="AI352" s="1010"/>
      <c r="AJ352" s="1010"/>
      <c r="AK352" s="1010"/>
      <c r="AL352" s="1010"/>
      <c r="AM352" s="1010"/>
      <c r="AN352" s="1010"/>
      <c r="AO352" s="1010"/>
      <c r="AP352" s="1010"/>
      <c r="AQ352" s="1010"/>
      <c r="AR352" s="1010"/>
      <c r="AS352" s="1010"/>
      <c r="AT352" s="1010"/>
      <c r="AU352" s="1010"/>
      <c r="AV352" s="1010"/>
      <c r="AW352" s="1010"/>
    </row>
    <row r="353" spans="1:49" s="33" customFormat="1" x14ac:dyDescent="0.2">
      <c r="A353" s="1010"/>
      <c r="B353" s="1029"/>
      <c r="C353" s="1030"/>
      <c r="D353" s="1029"/>
      <c r="E353" s="1044"/>
      <c r="F353" s="1044"/>
      <c r="G353" s="1020"/>
      <c r="H353" s="1659"/>
      <c r="I353" s="1659"/>
      <c r="J353" s="1077" t="str">
        <f t="shared" si="26"/>
        <v/>
      </c>
      <c r="K353" s="1659"/>
      <c r="L353" s="1659"/>
      <c r="M353" s="1078" t="str">
        <f t="shared" si="27"/>
        <v/>
      </c>
      <c r="N353" s="1659"/>
      <c r="O353" s="1659"/>
      <c r="P353" s="1078" t="str">
        <f t="shared" si="28"/>
        <v/>
      </c>
      <c r="Q353" s="1659"/>
      <c r="R353" s="1659"/>
      <c r="S353" s="1078" t="str">
        <f t="shared" si="29"/>
        <v/>
      </c>
      <c r="T353" s="1661"/>
      <c r="U353" s="1659"/>
      <c r="V353" s="1078" t="str">
        <f t="shared" si="30"/>
        <v/>
      </c>
      <c r="W353" s="1010"/>
      <c r="X353" s="1010"/>
      <c r="Y353" s="1010"/>
      <c r="Z353" s="1010"/>
      <c r="AA353" s="1010"/>
      <c r="AB353" s="1010"/>
      <c r="AC353" s="1010"/>
      <c r="AD353" s="1010"/>
      <c r="AE353" s="1010"/>
      <c r="AF353" s="1010"/>
      <c r="AG353" s="1010"/>
      <c r="AH353" s="1010"/>
      <c r="AI353" s="1010"/>
      <c r="AJ353" s="1010"/>
      <c r="AK353" s="1010"/>
      <c r="AL353" s="1010"/>
      <c r="AM353" s="1010"/>
      <c r="AN353" s="1010"/>
      <c r="AO353" s="1010"/>
      <c r="AP353" s="1010"/>
      <c r="AQ353" s="1010"/>
      <c r="AR353" s="1010"/>
      <c r="AS353" s="1010"/>
      <c r="AT353" s="1010"/>
      <c r="AU353" s="1010"/>
      <c r="AV353" s="1010"/>
      <c r="AW353" s="1010"/>
    </row>
    <row r="354" spans="1:49" s="33" customFormat="1" x14ac:dyDescent="0.2">
      <c r="A354" s="1010"/>
      <c r="B354" s="1029"/>
      <c r="C354" s="1030"/>
      <c r="D354" s="1029"/>
      <c r="E354" s="1044"/>
      <c r="F354" s="1044"/>
      <c r="G354" s="1020"/>
      <c r="H354" s="1659"/>
      <c r="I354" s="1659"/>
      <c r="J354" s="1077" t="str">
        <f t="shared" si="26"/>
        <v/>
      </c>
      <c r="K354" s="1659"/>
      <c r="L354" s="1659"/>
      <c r="M354" s="1078" t="str">
        <f t="shared" si="27"/>
        <v/>
      </c>
      <c r="N354" s="1659"/>
      <c r="O354" s="1659"/>
      <c r="P354" s="1078" t="str">
        <f t="shared" si="28"/>
        <v/>
      </c>
      <c r="Q354" s="1659"/>
      <c r="R354" s="1659"/>
      <c r="S354" s="1078" t="str">
        <f t="shared" si="29"/>
        <v/>
      </c>
      <c r="T354" s="1661"/>
      <c r="U354" s="1659"/>
      <c r="V354" s="1078" t="str">
        <f t="shared" si="30"/>
        <v/>
      </c>
      <c r="W354" s="1010"/>
      <c r="X354" s="1010"/>
      <c r="Y354" s="1010"/>
      <c r="Z354" s="1010"/>
      <c r="AA354" s="1010"/>
      <c r="AB354" s="1010"/>
      <c r="AC354" s="1010"/>
      <c r="AD354" s="1010"/>
      <c r="AE354" s="1010"/>
      <c r="AF354" s="1010"/>
      <c r="AG354" s="1010"/>
      <c r="AH354" s="1010"/>
      <c r="AI354" s="1010"/>
      <c r="AJ354" s="1010"/>
      <c r="AK354" s="1010"/>
      <c r="AL354" s="1010"/>
      <c r="AM354" s="1010"/>
      <c r="AN354" s="1010"/>
      <c r="AO354" s="1010"/>
      <c r="AP354" s="1010"/>
      <c r="AQ354" s="1010"/>
      <c r="AR354" s="1010"/>
      <c r="AS354" s="1010"/>
      <c r="AT354" s="1010"/>
      <c r="AU354" s="1010"/>
      <c r="AV354" s="1010"/>
      <c r="AW354" s="1010"/>
    </row>
    <row r="355" spans="1:49" s="33" customFormat="1" x14ac:dyDescent="0.2">
      <c r="A355" s="1010"/>
      <c r="B355" s="1029"/>
      <c r="C355" s="1030"/>
      <c r="D355" s="1029"/>
      <c r="E355" s="1044"/>
      <c r="F355" s="1044"/>
      <c r="G355" s="1020"/>
      <c r="H355" s="1659"/>
      <c r="I355" s="1659"/>
      <c r="J355" s="1077" t="str">
        <f t="shared" si="26"/>
        <v/>
      </c>
      <c r="K355" s="1659"/>
      <c r="L355" s="1659"/>
      <c r="M355" s="1078" t="str">
        <f t="shared" si="27"/>
        <v/>
      </c>
      <c r="N355" s="1659"/>
      <c r="O355" s="1659"/>
      <c r="P355" s="1078" t="str">
        <f t="shared" si="28"/>
        <v/>
      </c>
      <c r="Q355" s="1659"/>
      <c r="R355" s="1659"/>
      <c r="S355" s="1078" t="str">
        <f t="shared" si="29"/>
        <v/>
      </c>
      <c r="T355" s="1661"/>
      <c r="U355" s="1659"/>
      <c r="V355" s="1078" t="str">
        <f t="shared" si="30"/>
        <v/>
      </c>
      <c r="W355" s="1010"/>
      <c r="X355" s="1010"/>
      <c r="Y355" s="1010"/>
      <c r="Z355" s="1010"/>
      <c r="AA355" s="1010"/>
      <c r="AB355" s="1010"/>
      <c r="AC355" s="1010"/>
      <c r="AD355" s="1010"/>
      <c r="AE355" s="1010"/>
      <c r="AF355" s="1010"/>
      <c r="AG355" s="1010"/>
      <c r="AH355" s="1010"/>
      <c r="AI355" s="1010"/>
      <c r="AJ355" s="1010"/>
      <c r="AK355" s="1010"/>
      <c r="AL355" s="1010"/>
      <c r="AM355" s="1010"/>
      <c r="AN355" s="1010"/>
      <c r="AO355" s="1010"/>
      <c r="AP355" s="1010"/>
      <c r="AQ355" s="1010"/>
      <c r="AR355" s="1010"/>
      <c r="AS355" s="1010"/>
      <c r="AT355" s="1010"/>
      <c r="AU355" s="1010"/>
      <c r="AV355" s="1010"/>
      <c r="AW355" s="1010"/>
    </row>
    <row r="356" spans="1:49" s="33" customFormat="1" x14ac:dyDescent="0.2">
      <c r="A356" s="1010"/>
      <c r="B356" s="1029"/>
      <c r="C356" s="1030"/>
      <c r="D356" s="1029"/>
      <c r="E356" s="1044"/>
      <c r="F356" s="1044"/>
      <c r="G356" s="1020"/>
      <c r="H356" s="1659"/>
      <c r="I356" s="1659"/>
      <c r="J356" s="1077" t="str">
        <f t="shared" si="26"/>
        <v/>
      </c>
      <c r="K356" s="1659"/>
      <c r="L356" s="1659"/>
      <c r="M356" s="1078" t="str">
        <f t="shared" si="27"/>
        <v/>
      </c>
      <c r="N356" s="1659"/>
      <c r="O356" s="1659"/>
      <c r="P356" s="1078" t="str">
        <f t="shared" si="28"/>
        <v/>
      </c>
      <c r="Q356" s="1659"/>
      <c r="R356" s="1659"/>
      <c r="S356" s="1078" t="str">
        <f t="shared" si="29"/>
        <v/>
      </c>
      <c r="T356" s="1661"/>
      <c r="U356" s="1659"/>
      <c r="V356" s="1078" t="str">
        <f t="shared" si="30"/>
        <v/>
      </c>
      <c r="W356" s="1010"/>
      <c r="X356" s="1010"/>
      <c r="Y356" s="1010"/>
      <c r="Z356" s="1010"/>
      <c r="AA356" s="1010"/>
      <c r="AB356" s="1010"/>
      <c r="AC356" s="1010"/>
      <c r="AD356" s="1010"/>
      <c r="AE356" s="1010"/>
      <c r="AF356" s="1010"/>
      <c r="AG356" s="1010"/>
      <c r="AH356" s="1010"/>
      <c r="AI356" s="1010"/>
      <c r="AJ356" s="1010"/>
      <c r="AK356" s="1010"/>
      <c r="AL356" s="1010"/>
      <c r="AM356" s="1010"/>
      <c r="AN356" s="1010"/>
      <c r="AO356" s="1010"/>
      <c r="AP356" s="1010"/>
      <c r="AQ356" s="1010"/>
      <c r="AR356" s="1010"/>
      <c r="AS356" s="1010"/>
      <c r="AT356" s="1010"/>
      <c r="AU356" s="1010"/>
      <c r="AV356" s="1010"/>
      <c r="AW356" s="1010"/>
    </row>
    <row r="357" spans="1:49" s="33" customFormat="1" x14ac:dyDescent="0.2">
      <c r="A357" s="1010"/>
      <c r="B357" s="1029"/>
      <c r="C357" s="1030"/>
      <c r="D357" s="1029"/>
      <c r="E357" s="1044"/>
      <c r="F357" s="1044"/>
      <c r="G357" s="1020"/>
      <c r="H357" s="1659"/>
      <c r="I357" s="1659"/>
      <c r="J357" s="1077" t="str">
        <f t="shared" si="26"/>
        <v/>
      </c>
      <c r="K357" s="1659"/>
      <c r="L357" s="1659"/>
      <c r="M357" s="1078" t="str">
        <f t="shared" si="27"/>
        <v/>
      </c>
      <c r="N357" s="1659"/>
      <c r="O357" s="1659"/>
      <c r="P357" s="1078" t="str">
        <f t="shared" si="28"/>
        <v/>
      </c>
      <c r="Q357" s="1659"/>
      <c r="R357" s="1659"/>
      <c r="S357" s="1078" t="str">
        <f t="shared" si="29"/>
        <v/>
      </c>
      <c r="T357" s="1661"/>
      <c r="U357" s="1659"/>
      <c r="V357" s="1078" t="str">
        <f t="shared" si="30"/>
        <v/>
      </c>
      <c r="W357" s="1010"/>
      <c r="X357" s="1010"/>
      <c r="Y357" s="1010"/>
      <c r="Z357" s="1010"/>
      <c r="AA357" s="1010"/>
      <c r="AB357" s="1010"/>
      <c r="AC357" s="1010"/>
      <c r="AD357" s="1010"/>
      <c r="AE357" s="1010"/>
      <c r="AF357" s="1010"/>
      <c r="AG357" s="1010"/>
      <c r="AH357" s="1010"/>
      <c r="AI357" s="1010"/>
      <c r="AJ357" s="1010"/>
      <c r="AK357" s="1010"/>
      <c r="AL357" s="1010"/>
      <c r="AM357" s="1010"/>
      <c r="AN357" s="1010"/>
      <c r="AO357" s="1010"/>
      <c r="AP357" s="1010"/>
      <c r="AQ357" s="1010"/>
      <c r="AR357" s="1010"/>
      <c r="AS357" s="1010"/>
      <c r="AT357" s="1010"/>
      <c r="AU357" s="1010"/>
      <c r="AV357" s="1010"/>
      <c r="AW357" s="1010"/>
    </row>
    <row r="358" spans="1:49" s="33" customFormat="1" x14ac:dyDescent="0.2">
      <c r="A358" s="1010"/>
      <c r="B358" s="1029"/>
      <c r="C358" s="1030"/>
      <c r="D358" s="1029"/>
      <c r="E358" s="1044"/>
      <c r="F358" s="1044"/>
      <c r="G358" s="1020"/>
      <c r="H358" s="1659"/>
      <c r="I358" s="1659"/>
      <c r="J358" s="1077" t="str">
        <f t="shared" si="26"/>
        <v/>
      </c>
      <c r="K358" s="1659"/>
      <c r="L358" s="1659"/>
      <c r="M358" s="1078" t="str">
        <f t="shared" si="27"/>
        <v/>
      </c>
      <c r="N358" s="1659"/>
      <c r="O358" s="1659"/>
      <c r="P358" s="1078" t="str">
        <f t="shared" si="28"/>
        <v/>
      </c>
      <c r="Q358" s="1659"/>
      <c r="R358" s="1659"/>
      <c r="S358" s="1078" t="str">
        <f t="shared" si="29"/>
        <v/>
      </c>
      <c r="T358" s="1661"/>
      <c r="U358" s="1659"/>
      <c r="V358" s="1078" t="str">
        <f t="shared" si="30"/>
        <v/>
      </c>
      <c r="W358" s="1010"/>
      <c r="X358" s="1010"/>
      <c r="Y358" s="1010"/>
      <c r="Z358" s="1010"/>
      <c r="AA358" s="1010"/>
      <c r="AB358" s="1010"/>
      <c r="AC358" s="1010"/>
      <c r="AD358" s="1010"/>
      <c r="AE358" s="1010"/>
      <c r="AF358" s="1010"/>
      <c r="AG358" s="1010"/>
      <c r="AH358" s="1010"/>
      <c r="AI358" s="1010"/>
      <c r="AJ358" s="1010"/>
      <c r="AK358" s="1010"/>
      <c r="AL358" s="1010"/>
      <c r="AM358" s="1010"/>
      <c r="AN358" s="1010"/>
      <c r="AO358" s="1010"/>
      <c r="AP358" s="1010"/>
      <c r="AQ358" s="1010"/>
      <c r="AR358" s="1010"/>
      <c r="AS358" s="1010"/>
      <c r="AT358" s="1010"/>
      <c r="AU358" s="1010"/>
      <c r="AV358" s="1010"/>
      <c r="AW358" s="1010"/>
    </row>
    <row r="359" spans="1:49" s="33" customFormat="1" x14ac:dyDescent="0.2">
      <c r="A359" s="1010"/>
      <c r="B359" s="1029"/>
      <c r="C359" s="1030"/>
      <c r="D359" s="1029"/>
      <c r="E359" s="1044"/>
      <c r="F359" s="1044"/>
      <c r="G359" s="1020"/>
      <c r="H359" s="1659"/>
      <c r="I359" s="1659"/>
      <c r="J359" s="1077" t="str">
        <f t="shared" si="26"/>
        <v/>
      </c>
      <c r="K359" s="1659"/>
      <c r="L359" s="1659"/>
      <c r="M359" s="1078" t="str">
        <f t="shared" si="27"/>
        <v/>
      </c>
      <c r="N359" s="1659"/>
      <c r="O359" s="1659"/>
      <c r="P359" s="1078" t="str">
        <f t="shared" si="28"/>
        <v/>
      </c>
      <c r="Q359" s="1659"/>
      <c r="R359" s="1659"/>
      <c r="S359" s="1078" t="str">
        <f t="shared" si="29"/>
        <v/>
      </c>
      <c r="T359" s="1661"/>
      <c r="U359" s="1659"/>
      <c r="V359" s="1078" t="str">
        <f t="shared" si="30"/>
        <v/>
      </c>
      <c r="W359" s="1010"/>
      <c r="X359" s="1010"/>
      <c r="Y359" s="1010"/>
      <c r="Z359" s="1010"/>
      <c r="AA359" s="1010"/>
      <c r="AB359" s="1010"/>
      <c r="AC359" s="1010"/>
      <c r="AD359" s="1010"/>
      <c r="AE359" s="1010"/>
      <c r="AF359" s="1010"/>
      <c r="AG359" s="1010"/>
      <c r="AH359" s="1010"/>
      <c r="AI359" s="1010"/>
      <c r="AJ359" s="1010"/>
      <c r="AK359" s="1010"/>
      <c r="AL359" s="1010"/>
      <c r="AM359" s="1010"/>
      <c r="AN359" s="1010"/>
      <c r="AO359" s="1010"/>
      <c r="AP359" s="1010"/>
      <c r="AQ359" s="1010"/>
      <c r="AR359" s="1010"/>
      <c r="AS359" s="1010"/>
      <c r="AT359" s="1010"/>
      <c r="AU359" s="1010"/>
      <c r="AV359" s="1010"/>
      <c r="AW359" s="1010"/>
    </row>
    <row r="360" spans="1:49" s="33" customFormat="1" x14ac:dyDescent="0.2">
      <c r="A360" s="1010"/>
      <c r="B360" s="1029"/>
      <c r="C360" s="1030"/>
      <c r="D360" s="1029"/>
      <c r="E360" s="1044"/>
      <c r="F360" s="1044"/>
      <c r="G360" s="1020"/>
      <c r="H360" s="1659"/>
      <c r="I360" s="1659"/>
      <c r="J360" s="1077" t="str">
        <f t="shared" si="26"/>
        <v/>
      </c>
      <c r="K360" s="1659"/>
      <c r="L360" s="1659"/>
      <c r="M360" s="1078" t="str">
        <f t="shared" si="27"/>
        <v/>
      </c>
      <c r="N360" s="1659"/>
      <c r="O360" s="1659"/>
      <c r="P360" s="1078" t="str">
        <f t="shared" si="28"/>
        <v/>
      </c>
      <c r="Q360" s="1659"/>
      <c r="R360" s="1659"/>
      <c r="S360" s="1078" t="str">
        <f t="shared" si="29"/>
        <v/>
      </c>
      <c r="T360" s="1661"/>
      <c r="U360" s="1659"/>
      <c r="V360" s="1078" t="str">
        <f t="shared" si="30"/>
        <v/>
      </c>
      <c r="W360" s="1010"/>
      <c r="X360" s="1010"/>
      <c r="Y360" s="1010"/>
      <c r="Z360" s="1010"/>
      <c r="AA360" s="1010"/>
      <c r="AB360" s="1010"/>
      <c r="AC360" s="1010"/>
      <c r="AD360" s="1010"/>
      <c r="AE360" s="1010"/>
      <c r="AF360" s="1010"/>
      <c r="AG360" s="1010"/>
      <c r="AH360" s="1010"/>
      <c r="AI360" s="1010"/>
      <c r="AJ360" s="1010"/>
      <c r="AK360" s="1010"/>
      <c r="AL360" s="1010"/>
      <c r="AM360" s="1010"/>
      <c r="AN360" s="1010"/>
      <c r="AO360" s="1010"/>
      <c r="AP360" s="1010"/>
      <c r="AQ360" s="1010"/>
      <c r="AR360" s="1010"/>
      <c r="AS360" s="1010"/>
      <c r="AT360" s="1010"/>
      <c r="AU360" s="1010"/>
      <c r="AV360" s="1010"/>
      <c r="AW360" s="1010"/>
    </row>
    <row r="361" spans="1:49" s="33" customFormat="1" x14ac:dyDescent="0.2">
      <c r="A361" s="1010"/>
      <c r="B361" s="1029"/>
      <c r="C361" s="1030"/>
      <c r="D361" s="1029"/>
      <c r="E361" s="1034"/>
      <c r="F361" s="1034"/>
      <c r="G361" s="1020"/>
      <c r="H361" s="1659"/>
      <c r="I361" s="1659"/>
      <c r="J361" s="1077" t="str">
        <f t="shared" si="26"/>
        <v/>
      </c>
      <c r="K361" s="1659"/>
      <c r="L361" s="1659"/>
      <c r="M361" s="1078" t="str">
        <f t="shared" si="27"/>
        <v/>
      </c>
      <c r="N361" s="1659"/>
      <c r="O361" s="1659"/>
      <c r="P361" s="1078" t="str">
        <f t="shared" si="28"/>
        <v/>
      </c>
      <c r="Q361" s="1659"/>
      <c r="R361" s="1659"/>
      <c r="S361" s="1078" t="str">
        <f t="shared" si="29"/>
        <v/>
      </c>
      <c r="T361" s="1661"/>
      <c r="U361" s="1659"/>
      <c r="V361" s="1078" t="str">
        <f t="shared" si="30"/>
        <v/>
      </c>
      <c r="W361" s="1010"/>
      <c r="X361" s="1010"/>
      <c r="Y361" s="1010"/>
      <c r="Z361" s="1010"/>
      <c r="AA361" s="1010"/>
      <c r="AB361" s="1010"/>
      <c r="AC361" s="1010"/>
      <c r="AD361" s="1010"/>
      <c r="AE361" s="1010"/>
      <c r="AF361" s="1010"/>
      <c r="AG361" s="1010"/>
      <c r="AH361" s="1010"/>
      <c r="AI361" s="1010"/>
      <c r="AJ361" s="1010"/>
      <c r="AK361" s="1010"/>
      <c r="AL361" s="1010"/>
      <c r="AM361" s="1010"/>
      <c r="AN361" s="1010"/>
      <c r="AO361" s="1010"/>
      <c r="AP361" s="1010"/>
      <c r="AQ361" s="1010"/>
      <c r="AR361" s="1010"/>
      <c r="AS361" s="1010"/>
      <c r="AT361" s="1010"/>
      <c r="AU361" s="1010"/>
      <c r="AV361" s="1010"/>
      <c r="AW361" s="1010"/>
    </row>
    <row r="362" spans="1:49" s="33" customFormat="1" x14ac:dyDescent="0.2">
      <c r="A362" s="1010"/>
      <c r="B362" s="1029"/>
      <c r="C362" s="1030"/>
      <c r="D362" s="1029"/>
      <c r="E362" s="1034"/>
      <c r="F362" s="1034"/>
      <c r="G362" s="1020"/>
      <c r="H362" s="1659"/>
      <c r="I362" s="1659"/>
      <c r="J362" s="1077" t="str">
        <f t="shared" si="26"/>
        <v/>
      </c>
      <c r="K362" s="1659"/>
      <c r="L362" s="1659"/>
      <c r="M362" s="1078" t="str">
        <f t="shared" si="27"/>
        <v/>
      </c>
      <c r="N362" s="1659"/>
      <c r="O362" s="1659"/>
      <c r="P362" s="1078" t="str">
        <f t="shared" si="28"/>
        <v/>
      </c>
      <c r="Q362" s="1659"/>
      <c r="R362" s="1659"/>
      <c r="S362" s="1078" t="str">
        <f t="shared" si="29"/>
        <v/>
      </c>
      <c r="T362" s="1661"/>
      <c r="U362" s="1659"/>
      <c r="V362" s="1078" t="str">
        <f t="shared" si="30"/>
        <v/>
      </c>
      <c r="W362" s="1010"/>
      <c r="X362" s="1010"/>
      <c r="Y362" s="1010"/>
      <c r="Z362" s="1010"/>
      <c r="AA362" s="1010"/>
      <c r="AB362" s="1010"/>
      <c r="AC362" s="1010"/>
      <c r="AD362" s="1010"/>
      <c r="AE362" s="1010"/>
      <c r="AF362" s="1010"/>
      <c r="AG362" s="1010"/>
      <c r="AH362" s="1010"/>
      <c r="AI362" s="1010"/>
      <c r="AJ362" s="1010"/>
      <c r="AK362" s="1010"/>
      <c r="AL362" s="1010"/>
      <c r="AM362" s="1010"/>
      <c r="AN362" s="1010"/>
      <c r="AO362" s="1010"/>
      <c r="AP362" s="1010"/>
      <c r="AQ362" s="1010"/>
      <c r="AR362" s="1010"/>
      <c r="AS362" s="1010"/>
      <c r="AT362" s="1010"/>
      <c r="AU362" s="1010"/>
      <c r="AV362" s="1010"/>
      <c r="AW362" s="1010"/>
    </row>
    <row r="363" spans="1:49" s="33" customFormat="1" x14ac:dyDescent="0.2">
      <c r="A363" s="1010"/>
      <c r="B363" s="1029"/>
      <c r="C363" s="1030"/>
      <c r="D363" s="1029"/>
      <c r="E363" s="1034"/>
      <c r="F363" s="1034"/>
      <c r="G363" s="1020"/>
      <c r="H363" s="1659"/>
      <c r="I363" s="1659"/>
      <c r="J363" s="1077" t="str">
        <f t="shared" si="26"/>
        <v/>
      </c>
      <c r="K363" s="1659"/>
      <c r="L363" s="1659"/>
      <c r="M363" s="1078" t="str">
        <f t="shared" si="27"/>
        <v/>
      </c>
      <c r="N363" s="1659"/>
      <c r="O363" s="1659"/>
      <c r="P363" s="1078" t="str">
        <f t="shared" si="28"/>
        <v/>
      </c>
      <c r="Q363" s="1659"/>
      <c r="R363" s="1659"/>
      <c r="S363" s="1078" t="str">
        <f t="shared" si="29"/>
        <v/>
      </c>
      <c r="T363" s="1661"/>
      <c r="U363" s="1659"/>
      <c r="V363" s="1078" t="str">
        <f t="shared" si="30"/>
        <v/>
      </c>
      <c r="W363" s="1010"/>
      <c r="X363" s="1010"/>
      <c r="Y363" s="1010"/>
      <c r="Z363" s="1010"/>
      <c r="AA363" s="1010"/>
      <c r="AB363" s="1010"/>
      <c r="AC363" s="1010"/>
      <c r="AD363" s="1010"/>
      <c r="AE363" s="1010"/>
      <c r="AF363" s="1010"/>
      <c r="AG363" s="1010"/>
      <c r="AH363" s="1010"/>
      <c r="AI363" s="1010"/>
      <c r="AJ363" s="1010"/>
      <c r="AK363" s="1010"/>
      <c r="AL363" s="1010"/>
      <c r="AM363" s="1010"/>
      <c r="AN363" s="1010"/>
      <c r="AO363" s="1010"/>
      <c r="AP363" s="1010"/>
      <c r="AQ363" s="1010"/>
      <c r="AR363" s="1010"/>
      <c r="AS363" s="1010"/>
      <c r="AT363" s="1010"/>
      <c r="AU363" s="1010"/>
      <c r="AV363" s="1010"/>
      <c r="AW363" s="1010"/>
    </row>
    <row r="364" spans="1:49" s="33" customFormat="1" x14ac:dyDescent="0.2">
      <c r="A364" s="1010"/>
      <c r="B364" s="1029"/>
      <c r="C364" s="1030"/>
      <c r="D364" s="1029"/>
      <c r="E364" s="1034"/>
      <c r="F364" s="1034"/>
      <c r="G364" s="1020"/>
      <c r="H364" s="1659"/>
      <c r="I364" s="1659"/>
      <c r="J364" s="1077" t="str">
        <f t="shared" si="26"/>
        <v/>
      </c>
      <c r="K364" s="1659"/>
      <c r="L364" s="1659"/>
      <c r="M364" s="1078" t="str">
        <f t="shared" si="27"/>
        <v/>
      </c>
      <c r="N364" s="1659"/>
      <c r="O364" s="1659"/>
      <c r="P364" s="1078" t="str">
        <f t="shared" si="28"/>
        <v/>
      </c>
      <c r="Q364" s="1659"/>
      <c r="R364" s="1659"/>
      <c r="S364" s="1078" t="str">
        <f t="shared" si="29"/>
        <v/>
      </c>
      <c r="T364" s="1661"/>
      <c r="U364" s="1659"/>
      <c r="V364" s="1078" t="str">
        <f t="shared" si="30"/>
        <v/>
      </c>
      <c r="W364" s="1010"/>
      <c r="X364" s="1010"/>
      <c r="Y364" s="1010"/>
      <c r="Z364" s="1010"/>
      <c r="AA364" s="1010"/>
      <c r="AB364" s="1010"/>
      <c r="AC364" s="1010"/>
      <c r="AD364" s="1010"/>
      <c r="AE364" s="1010"/>
      <c r="AF364" s="1010"/>
      <c r="AG364" s="1010"/>
      <c r="AH364" s="1010"/>
      <c r="AI364" s="1010"/>
      <c r="AJ364" s="1010"/>
      <c r="AK364" s="1010"/>
      <c r="AL364" s="1010"/>
      <c r="AM364" s="1010"/>
      <c r="AN364" s="1010"/>
      <c r="AO364" s="1010"/>
      <c r="AP364" s="1010"/>
      <c r="AQ364" s="1010"/>
      <c r="AR364" s="1010"/>
      <c r="AS364" s="1010"/>
      <c r="AT364" s="1010"/>
      <c r="AU364" s="1010"/>
      <c r="AV364" s="1010"/>
      <c r="AW364" s="1010"/>
    </row>
    <row r="365" spans="1:49" s="33" customFormat="1" x14ac:dyDescent="0.2">
      <c r="A365" s="1010"/>
      <c r="B365" s="1029"/>
      <c r="C365" s="1030"/>
      <c r="D365" s="1029"/>
      <c r="E365" s="1034"/>
      <c r="F365" s="1034"/>
      <c r="G365" s="1020"/>
      <c r="H365" s="1659"/>
      <c r="I365" s="1659"/>
      <c r="J365" s="1077" t="str">
        <f t="shared" si="26"/>
        <v/>
      </c>
      <c r="K365" s="1659"/>
      <c r="L365" s="1659"/>
      <c r="M365" s="1078" t="str">
        <f t="shared" si="27"/>
        <v/>
      </c>
      <c r="N365" s="1659"/>
      <c r="O365" s="1659"/>
      <c r="P365" s="1078" t="str">
        <f t="shared" si="28"/>
        <v/>
      </c>
      <c r="Q365" s="1659"/>
      <c r="R365" s="1659"/>
      <c r="S365" s="1078" t="str">
        <f t="shared" si="29"/>
        <v/>
      </c>
      <c r="T365" s="1661"/>
      <c r="U365" s="1659"/>
      <c r="V365" s="1078" t="str">
        <f t="shared" si="30"/>
        <v/>
      </c>
      <c r="W365" s="1010"/>
      <c r="X365" s="1010"/>
      <c r="Y365" s="1010"/>
      <c r="Z365" s="1010"/>
      <c r="AA365" s="1010"/>
      <c r="AB365" s="1010"/>
      <c r="AC365" s="1010"/>
      <c r="AD365" s="1010"/>
      <c r="AE365" s="1010"/>
      <c r="AF365" s="1010"/>
      <c r="AG365" s="1010"/>
      <c r="AH365" s="1010"/>
      <c r="AI365" s="1010"/>
      <c r="AJ365" s="1010"/>
      <c r="AK365" s="1010"/>
      <c r="AL365" s="1010"/>
      <c r="AM365" s="1010"/>
      <c r="AN365" s="1010"/>
      <c r="AO365" s="1010"/>
      <c r="AP365" s="1010"/>
      <c r="AQ365" s="1010"/>
      <c r="AR365" s="1010"/>
      <c r="AS365" s="1010"/>
      <c r="AT365" s="1010"/>
      <c r="AU365" s="1010"/>
      <c r="AV365" s="1010"/>
      <c r="AW365" s="1010"/>
    </row>
    <row r="366" spans="1:49" s="1016" customFormat="1" x14ac:dyDescent="0.2">
      <c r="A366" s="1010"/>
      <c r="B366" s="1029"/>
      <c r="C366" s="1030"/>
      <c r="D366" s="1029"/>
      <c r="E366" s="1034"/>
      <c r="F366" s="1034"/>
      <c r="G366" s="1020"/>
      <c r="H366" s="1659"/>
      <c r="I366" s="1659"/>
      <c r="J366" s="1077" t="str">
        <f t="shared" si="26"/>
        <v/>
      </c>
      <c r="K366" s="1659"/>
      <c r="L366" s="1659"/>
      <c r="M366" s="1078" t="str">
        <f t="shared" si="27"/>
        <v/>
      </c>
      <c r="N366" s="1659"/>
      <c r="O366" s="1659"/>
      <c r="P366" s="1078" t="str">
        <f t="shared" si="28"/>
        <v/>
      </c>
      <c r="Q366" s="1659"/>
      <c r="R366" s="1659"/>
      <c r="S366" s="1078" t="str">
        <f t="shared" si="29"/>
        <v/>
      </c>
      <c r="T366" s="1661"/>
      <c r="U366" s="1659"/>
      <c r="V366" s="1078" t="str">
        <f t="shared" si="30"/>
        <v/>
      </c>
      <c r="W366" s="1010"/>
      <c r="X366" s="1010"/>
      <c r="Y366" s="1010"/>
      <c r="Z366" s="1010"/>
      <c r="AA366" s="1010"/>
      <c r="AB366" s="1010"/>
      <c r="AC366" s="1010"/>
      <c r="AD366" s="1010"/>
      <c r="AE366" s="1010"/>
      <c r="AF366" s="1010"/>
      <c r="AG366" s="1010"/>
      <c r="AH366" s="1010"/>
      <c r="AI366" s="1010"/>
      <c r="AJ366" s="1010"/>
      <c r="AK366" s="1010"/>
      <c r="AL366" s="1010"/>
      <c r="AM366" s="1010"/>
      <c r="AN366" s="1010"/>
      <c r="AO366" s="1010"/>
      <c r="AP366" s="1010"/>
      <c r="AQ366" s="1010"/>
      <c r="AR366" s="1010"/>
      <c r="AS366" s="1010"/>
      <c r="AT366" s="1010"/>
      <c r="AU366" s="1010"/>
      <c r="AV366" s="1010"/>
      <c r="AW366" s="1010"/>
    </row>
    <row r="367" spans="1:49" s="1016" customFormat="1" x14ac:dyDescent="0.2">
      <c r="A367" s="1010"/>
      <c r="B367" s="1029"/>
      <c r="C367" s="1030"/>
      <c r="D367" s="1029"/>
      <c r="E367" s="1034"/>
      <c r="F367" s="1034"/>
      <c r="G367" s="1020"/>
      <c r="H367" s="1659"/>
      <c r="I367" s="1659"/>
      <c r="J367" s="1077" t="str">
        <f t="shared" si="26"/>
        <v/>
      </c>
      <c r="K367" s="1659"/>
      <c r="L367" s="1659"/>
      <c r="M367" s="1078" t="str">
        <f t="shared" si="27"/>
        <v/>
      </c>
      <c r="N367" s="1659"/>
      <c r="O367" s="1659"/>
      <c r="P367" s="1078" t="str">
        <f t="shared" si="28"/>
        <v/>
      </c>
      <c r="Q367" s="1659"/>
      <c r="R367" s="1659"/>
      <c r="S367" s="1078" t="str">
        <f t="shared" si="29"/>
        <v/>
      </c>
      <c r="T367" s="1661"/>
      <c r="U367" s="1659"/>
      <c r="V367" s="1078" t="str">
        <f t="shared" si="30"/>
        <v/>
      </c>
      <c r="W367" s="1010"/>
      <c r="X367" s="1010"/>
      <c r="Y367" s="1010"/>
      <c r="Z367" s="1010"/>
      <c r="AA367" s="1010"/>
      <c r="AB367" s="1010"/>
      <c r="AC367" s="1010"/>
      <c r="AD367" s="1010"/>
      <c r="AE367" s="1010"/>
      <c r="AF367" s="1010"/>
      <c r="AG367" s="1010"/>
      <c r="AH367" s="1010"/>
      <c r="AI367" s="1010"/>
      <c r="AJ367" s="1010"/>
      <c r="AK367" s="1010"/>
      <c r="AL367" s="1010"/>
      <c r="AM367" s="1010"/>
      <c r="AN367" s="1010"/>
      <c r="AO367" s="1010"/>
      <c r="AP367" s="1010"/>
      <c r="AQ367" s="1010"/>
      <c r="AR367" s="1010"/>
      <c r="AS367" s="1010"/>
      <c r="AT367" s="1010"/>
      <c r="AU367" s="1010"/>
      <c r="AV367" s="1010"/>
      <c r="AW367" s="1010"/>
    </row>
    <row r="368" spans="1:49" s="1016" customFormat="1" x14ac:dyDescent="0.2">
      <c r="A368" s="1010"/>
      <c r="B368" s="1029"/>
      <c r="C368" s="1030"/>
      <c r="D368" s="1029"/>
      <c r="E368" s="1034"/>
      <c r="F368" s="1034"/>
      <c r="G368" s="1020"/>
      <c r="H368" s="1659"/>
      <c r="I368" s="1659"/>
      <c r="J368" s="1077" t="str">
        <f t="shared" si="26"/>
        <v/>
      </c>
      <c r="K368" s="1659"/>
      <c r="L368" s="1659"/>
      <c r="M368" s="1078" t="str">
        <f t="shared" si="27"/>
        <v/>
      </c>
      <c r="N368" s="1659"/>
      <c r="O368" s="1659"/>
      <c r="P368" s="1078" t="str">
        <f t="shared" si="28"/>
        <v/>
      </c>
      <c r="Q368" s="1659"/>
      <c r="R368" s="1659"/>
      <c r="S368" s="1078" t="str">
        <f t="shared" si="29"/>
        <v/>
      </c>
      <c r="T368" s="1661"/>
      <c r="U368" s="1659"/>
      <c r="V368" s="1078" t="str">
        <f t="shared" si="30"/>
        <v/>
      </c>
      <c r="W368" s="1010"/>
      <c r="X368" s="1010"/>
      <c r="Y368" s="1010"/>
      <c r="Z368" s="1010"/>
      <c r="AA368" s="1010"/>
      <c r="AB368" s="1010"/>
      <c r="AC368" s="1010"/>
      <c r="AD368" s="1010"/>
      <c r="AE368" s="1010"/>
      <c r="AF368" s="1010"/>
      <c r="AG368" s="1010"/>
      <c r="AH368" s="1010"/>
      <c r="AI368" s="1010"/>
      <c r="AJ368" s="1010"/>
      <c r="AK368" s="1010"/>
      <c r="AL368" s="1010"/>
      <c r="AM368" s="1010"/>
      <c r="AN368" s="1010"/>
      <c r="AO368" s="1010"/>
      <c r="AP368" s="1010"/>
      <c r="AQ368" s="1010"/>
      <c r="AR368" s="1010"/>
      <c r="AS368" s="1010"/>
      <c r="AT368" s="1010"/>
      <c r="AU368" s="1010"/>
      <c r="AV368" s="1010"/>
      <c r="AW368" s="1010"/>
    </row>
    <row r="369" spans="1:49" s="1016" customFormat="1" x14ac:dyDescent="0.2">
      <c r="A369" s="1010"/>
      <c r="B369" s="1029"/>
      <c r="C369" s="1030"/>
      <c r="D369" s="1029"/>
      <c r="E369" s="1047"/>
      <c r="F369" s="1047"/>
      <c r="G369" s="1020"/>
      <c r="H369" s="1659"/>
      <c r="I369" s="1659"/>
      <c r="J369" s="1077" t="str">
        <f t="shared" si="26"/>
        <v/>
      </c>
      <c r="K369" s="1659"/>
      <c r="L369" s="1659"/>
      <c r="M369" s="1078" t="str">
        <f t="shared" si="27"/>
        <v/>
      </c>
      <c r="N369" s="1659"/>
      <c r="O369" s="1659"/>
      <c r="P369" s="1078" t="str">
        <f t="shared" si="28"/>
        <v/>
      </c>
      <c r="Q369" s="1659"/>
      <c r="R369" s="1659"/>
      <c r="S369" s="1078" t="str">
        <f t="shared" si="29"/>
        <v/>
      </c>
      <c r="T369" s="1661"/>
      <c r="U369" s="1659"/>
      <c r="V369" s="1078" t="str">
        <f t="shared" si="30"/>
        <v/>
      </c>
      <c r="W369" s="1010"/>
      <c r="X369" s="1010"/>
      <c r="Y369" s="1010"/>
      <c r="Z369" s="1010"/>
      <c r="AA369" s="1010"/>
      <c r="AB369" s="1010"/>
      <c r="AC369" s="1010"/>
      <c r="AD369" s="1010"/>
      <c r="AE369" s="1010"/>
      <c r="AF369" s="1010"/>
      <c r="AG369" s="1010"/>
      <c r="AH369" s="1010"/>
      <c r="AI369" s="1010"/>
      <c r="AJ369" s="1010"/>
      <c r="AK369" s="1010"/>
      <c r="AL369" s="1010"/>
      <c r="AM369" s="1010"/>
      <c r="AN369" s="1010"/>
      <c r="AO369" s="1010"/>
      <c r="AP369" s="1010"/>
      <c r="AQ369" s="1010"/>
      <c r="AR369" s="1010"/>
      <c r="AS369" s="1010"/>
      <c r="AT369" s="1010"/>
      <c r="AU369" s="1010"/>
      <c r="AV369" s="1010"/>
      <c r="AW369" s="1010"/>
    </row>
    <row r="370" spans="1:49" s="1016" customFormat="1" x14ac:dyDescent="0.2">
      <c r="A370" s="1010"/>
      <c r="B370" s="1029"/>
      <c r="C370" s="1030"/>
      <c r="D370" s="1029"/>
      <c r="E370" s="1047"/>
      <c r="F370" s="1047"/>
      <c r="G370" s="1020"/>
      <c r="H370" s="1659"/>
      <c r="I370" s="1659"/>
      <c r="J370" s="1077" t="str">
        <f t="shared" si="26"/>
        <v/>
      </c>
      <c r="K370" s="1659"/>
      <c r="L370" s="1659"/>
      <c r="M370" s="1078" t="str">
        <f t="shared" si="27"/>
        <v/>
      </c>
      <c r="N370" s="1659"/>
      <c r="O370" s="1659"/>
      <c r="P370" s="1078" t="str">
        <f t="shared" si="28"/>
        <v/>
      </c>
      <c r="Q370" s="1659"/>
      <c r="R370" s="1659"/>
      <c r="S370" s="1078" t="str">
        <f t="shared" si="29"/>
        <v/>
      </c>
      <c r="T370" s="1661"/>
      <c r="U370" s="1659"/>
      <c r="V370" s="1078" t="str">
        <f t="shared" si="30"/>
        <v/>
      </c>
      <c r="W370" s="1010"/>
      <c r="X370" s="1010"/>
      <c r="Y370" s="1010"/>
      <c r="Z370" s="1010"/>
      <c r="AA370" s="1010"/>
      <c r="AB370" s="1010"/>
      <c r="AC370" s="1010"/>
      <c r="AD370" s="1010"/>
      <c r="AE370" s="1010"/>
      <c r="AF370" s="1010"/>
      <c r="AG370" s="1010"/>
      <c r="AH370" s="1010"/>
      <c r="AI370" s="1010"/>
      <c r="AJ370" s="1010"/>
      <c r="AK370" s="1010"/>
      <c r="AL370" s="1010"/>
      <c r="AM370" s="1010"/>
      <c r="AN370" s="1010"/>
      <c r="AO370" s="1010"/>
      <c r="AP370" s="1010"/>
      <c r="AQ370" s="1010"/>
      <c r="AR370" s="1010"/>
      <c r="AS370" s="1010"/>
      <c r="AT370" s="1010"/>
      <c r="AU370" s="1010"/>
      <c r="AV370" s="1010"/>
      <c r="AW370" s="1010"/>
    </row>
    <row r="371" spans="1:49" s="1016" customFormat="1" x14ac:dyDescent="0.2">
      <c r="A371" s="1010"/>
      <c r="B371" s="1029"/>
      <c r="C371" s="1030"/>
      <c r="D371" s="1029"/>
      <c r="E371" s="1048"/>
      <c r="F371" s="1048"/>
      <c r="G371" s="1020"/>
      <c r="H371" s="1659"/>
      <c r="I371" s="1659"/>
      <c r="J371" s="1077" t="str">
        <f t="shared" si="26"/>
        <v/>
      </c>
      <c r="K371" s="1659"/>
      <c r="L371" s="1659"/>
      <c r="M371" s="1078" t="str">
        <f t="shared" si="27"/>
        <v/>
      </c>
      <c r="N371" s="1659"/>
      <c r="O371" s="1659"/>
      <c r="P371" s="1078" t="str">
        <f t="shared" si="28"/>
        <v/>
      </c>
      <c r="Q371" s="1659"/>
      <c r="R371" s="1659"/>
      <c r="S371" s="1078" t="str">
        <f t="shared" si="29"/>
        <v/>
      </c>
      <c r="T371" s="1661"/>
      <c r="U371" s="1659"/>
      <c r="V371" s="1078" t="str">
        <f t="shared" si="30"/>
        <v/>
      </c>
      <c r="W371" s="1010"/>
      <c r="X371" s="1010"/>
      <c r="Y371" s="1010"/>
      <c r="Z371" s="1010"/>
      <c r="AA371" s="1010"/>
      <c r="AB371" s="1010"/>
      <c r="AC371" s="1010"/>
      <c r="AD371" s="1010"/>
      <c r="AE371" s="1010"/>
      <c r="AF371" s="1010"/>
      <c r="AG371" s="1010"/>
      <c r="AH371" s="1010"/>
      <c r="AI371" s="1010"/>
      <c r="AJ371" s="1010"/>
      <c r="AK371" s="1010"/>
      <c r="AL371" s="1010"/>
      <c r="AM371" s="1010"/>
      <c r="AN371" s="1010"/>
      <c r="AO371" s="1010"/>
      <c r="AP371" s="1010"/>
      <c r="AQ371" s="1010"/>
      <c r="AR371" s="1010"/>
      <c r="AS371" s="1010"/>
      <c r="AT371" s="1010"/>
      <c r="AU371" s="1010"/>
      <c r="AV371" s="1010"/>
      <c r="AW371" s="1010"/>
    </row>
    <row r="372" spans="1:49" s="1016" customFormat="1" x14ac:dyDescent="0.2">
      <c r="A372" s="1010"/>
      <c r="B372" s="1029"/>
      <c r="C372" s="1030"/>
      <c r="D372" s="1029"/>
      <c r="E372" s="1048"/>
      <c r="F372" s="1048"/>
      <c r="G372" s="1020"/>
      <c r="H372" s="1659"/>
      <c r="I372" s="1659"/>
      <c r="J372" s="1077" t="str">
        <f t="shared" si="26"/>
        <v/>
      </c>
      <c r="K372" s="1659"/>
      <c r="L372" s="1659"/>
      <c r="M372" s="1078" t="str">
        <f t="shared" si="27"/>
        <v/>
      </c>
      <c r="N372" s="1659"/>
      <c r="O372" s="1659"/>
      <c r="P372" s="1078" t="str">
        <f t="shared" si="28"/>
        <v/>
      </c>
      <c r="Q372" s="1659"/>
      <c r="R372" s="1659"/>
      <c r="S372" s="1078" t="str">
        <f t="shared" si="29"/>
        <v/>
      </c>
      <c r="T372" s="1661"/>
      <c r="U372" s="1659"/>
      <c r="V372" s="1078" t="str">
        <f t="shared" si="30"/>
        <v/>
      </c>
      <c r="W372" s="1010"/>
      <c r="X372" s="1010"/>
      <c r="Y372" s="1010"/>
      <c r="Z372" s="1010"/>
      <c r="AA372" s="1010"/>
      <c r="AB372" s="1010"/>
      <c r="AC372" s="1010"/>
      <c r="AD372" s="1010"/>
      <c r="AE372" s="1010"/>
      <c r="AF372" s="1010"/>
      <c r="AG372" s="1010"/>
      <c r="AH372" s="1010"/>
      <c r="AI372" s="1010"/>
      <c r="AJ372" s="1010"/>
      <c r="AK372" s="1010"/>
      <c r="AL372" s="1010"/>
      <c r="AM372" s="1010"/>
      <c r="AN372" s="1010"/>
      <c r="AO372" s="1010"/>
      <c r="AP372" s="1010"/>
      <c r="AQ372" s="1010"/>
      <c r="AR372" s="1010"/>
      <c r="AS372" s="1010"/>
      <c r="AT372" s="1010"/>
      <c r="AU372" s="1010"/>
      <c r="AV372" s="1010"/>
      <c r="AW372" s="1010"/>
    </row>
    <row r="373" spans="1:49" s="1016" customFormat="1" x14ac:dyDescent="0.2">
      <c r="A373" s="1010"/>
      <c r="B373" s="1029"/>
      <c r="C373" s="1030"/>
      <c r="D373" s="1029"/>
      <c r="E373" s="1032"/>
      <c r="F373" s="1032"/>
      <c r="G373" s="1020"/>
      <c r="H373" s="1659"/>
      <c r="I373" s="1659"/>
      <c r="J373" s="1077" t="str">
        <f t="shared" si="26"/>
        <v/>
      </c>
      <c r="K373" s="1659"/>
      <c r="L373" s="1659"/>
      <c r="M373" s="1078" t="str">
        <f t="shared" si="27"/>
        <v/>
      </c>
      <c r="N373" s="1659"/>
      <c r="O373" s="1659"/>
      <c r="P373" s="1078" t="str">
        <f t="shared" si="28"/>
        <v/>
      </c>
      <c r="Q373" s="1659"/>
      <c r="R373" s="1659"/>
      <c r="S373" s="1078" t="str">
        <f t="shared" si="29"/>
        <v/>
      </c>
      <c r="T373" s="1661"/>
      <c r="U373" s="1659"/>
      <c r="V373" s="1078" t="str">
        <f t="shared" si="30"/>
        <v/>
      </c>
      <c r="W373" s="1010"/>
      <c r="X373" s="1010"/>
      <c r="Y373" s="1010"/>
      <c r="Z373" s="1010"/>
      <c r="AA373" s="1010"/>
      <c r="AB373" s="1010"/>
      <c r="AC373" s="1010"/>
      <c r="AD373" s="1010"/>
      <c r="AE373" s="1010"/>
      <c r="AF373" s="1010"/>
      <c r="AG373" s="1010"/>
      <c r="AH373" s="1010"/>
      <c r="AI373" s="1010"/>
      <c r="AJ373" s="1010"/>
      <c r="AK373" s="1010"/>
      <c r="AL373" s="1010"/>
      <c r="AM373" s="1010"/>
      <c r="AN373" s="1010"/>
      <c r="AO373" s="1010"/>
      <c r="AP373" s="1010"/>
      <c r="AQ373" s="1010"/>
      <c r="AR373" s="1010"/>
      <c r="AS373" s="1010"/>
      <c r="AT373" s="1010"/>
      <c r="AU373" s="1010"/>
      <c r="AV373" s="1010"/>
      <c r="AW373" s="1010"/>
    </row>
    <row r="374" spans="1:49" s="1016" customFormat="1" x14ac:dyDescent="0.2">
      <c r="A374" s="1010"/>
      <c r="B374" s="1029"/>
      <c r="C374" s="1030"/>
      <c r="D374" s="1029"/>
      <c r="E374" s="1032"/>
      <c r="F374" s="1032"/>
      <c r="G374" s="1020"/>
      <c r="H374" s="1659"/>
      <c r="I374" s="1659"/>
      <c r="J374" s="1077" t="str">
        <f t="shared" si="26"/>
        <v/>
      </c>
      <c r="K374" s="1659"/>
      <c r="L374" s="1659"/>
      <c r="M374" s="1078" t="str">
        <f t="shared" si="27"/>
        <v/>
      </c>
      <c r="N374" s="1659"/>
      <c r="O374" s="1659"/>
      <c r="P374" s="1078" t="str">
        <f t="shared" si="28"/>
        <v/>
      </c>
      <c r="Q374" s="1659"/>
      <c r="R374" s="1659"/>
      <c r="S374" s="1078" t="str">
        <f t="shared" si="29"/>
        <v/>
      </c>
      <c r="T374" s="1661"/>
      <c r="U374" s="1659"/>
      <c r="V374" s="1078" t="str">
        <f t="shared" si="30"/>
        <v/>
      </c>
      <c r="W374" s="1010"/>
      <c r="X374" s="1010"/>
      <c r="Y374" s="1010"/>
      <c r="Z374" s="1010"/>
      <c r="AA374" s="1010"/>
      <c r="AB374" s="1010"/>
      <c r="AC374" s="1010"/>
      <c r="AD374" s="1010"/>
      <c r="AE374" s="1010"/>
      <c r="AF374" s="1010"/>
      <c r="AG374" s="1010"/>
      <c r="AH374" s="1010"/>
      <c r="AI374" s="1010"/>
      <c r="AJ374" s="1010"/>
      <c r="AK374" s="1010"/>
      <c r="AL374" s="1010"/>
      <c r="AM374" s="1010"/>
      <c r="AN374" s="1010"/>
      <c r="AO374" s="1010"/>
      <c r="AP374" s="1010"/>
      <c r="AQ374" s="1010"/>
      <c r="AR374" s="1010"/>
      <c r="AS374" s="1010"/>
      <c r="AT374" s="1010"/>
      <c r="AU374" s="1010"/>
      <c r="AV374" s="1010"/>
      <c r="AW374" s="1010"/>
    </row>
    <row r="375" spans="1:49" s="1016" customFormat="1" x14ac:dyDescent="0.2">
      <c r="A375" s="1010"/>
      <c r="B375" s="1029"/>
      <c r="C375" s="1030"/>
      <c r="D375" s="1029"/>
      <c r="E375" s="1032"/>
      <c r="F375" s="1032"/>
      <c r="G375" s="1020"/>
      <c r="H375" s="1659"/>
      <c r="I375" s="1659"/>
      <c r="J375" s="1077" t="str">
        <f t="shared" si="26"/>
        <v/>
      </c>
      <c r="K375" s="1659"/>
      <c r="L375" s="1659"/>
      <c r="M375" s="1078" t="str">
        <f t="shared" si="27"/>
        <v/>
      </c>
      <c r="N375" s="1659"/>
      <c r="O375" s="1659"/>
      <c r="P375" s="1078" t="str">
        <f t="shared" si="28"/>
        <v/>
      </c>
      <c r="Q375" s="1659"/>
      <c r="R375" s="1659"/>
      <c r="S375" s="1078" t="str">
        <f t="shared" si="29"/>
        <v/>
      </c>
      <c r="T375" s="1661"/>
      <c r="U375" s="1659"/>
      <c r="V375" s="1078" t="str">
        <f t="shared" si="30"/>
        <v/>
      </c>
      <c r="W375" s="1010"/>
      <c r="X375" s="1010"/>
      <c r="Y375" s="1010"/>
      <c r="Z375" s="1010"/>
      <c r="AA375" s="1010"/>
      <c r="AB375" s="1010"/>
      <c r="AC375" s="1010"/>
      <c r="AD375" s="1010"/>
      <c r="AE375" s="1010"/>
      <c r="AF375" s="1010"/>
      <c r="AG375" s="1010"/>
      <c r="AH375" s="1010"/>
      <c r="AI375" s="1010"/>
      <c r="AJ375" s="1010"/>
      <c r="AK375" s="1010"/>
      <c r="AL375" s="1010"/>
      <c r="AM375" s="1010"/>
      <c r="AN375" s="1010"/>
      <c r="AO375" s="1010"/>
      <c r="AP375" s="1010"/>
      <c r="AQ375" s="1010"/>
      <c r="AR375" s="1010"/>
      <c r="AS375" s="1010"/>
      <c r="AT375" s="1010"/>
      <c r="AU375" s="1010"/>
      <c r="AV375" s="1010"/>
      <c r="AW375" s="1010"/>
    </row>
    <row r="376" spans="1:49" s="1016" customFormat="1" x14ac:dyDescent="0.2">
      <c r="A376" s="1010"/>
      <c r="B376" s="1029"/>
      <c r="C376" s="1030"/>
      <c r="D376" s="1029"/>
      <c r="E376" s="1032"/>
      <c r="F376" s="1032"/>
      <c r="G376" s="1020"/>
      <c r="H376" s="1659"/>
      <c r="I376" s="1659"/>
      <c r="J376" s="1077" t="str">
        <f t="shared" si="26"/>
        <v/>
      </c>
      <c r="K376" s="1659"/>
      <c r="L376" s="1659"/>
      <c r="M376" s="1078" t="str">
        <f t="shared" si="27"/>
        <v/>
      </c>
      <c r="N376" s="1659"/>
      <c r="O376" s="1659"/>
      <c r="P376" s="1078" t="str">
        <f t="shared" si="28"/>
        <v/>
      </c>
      <c r="Q376" s="1659"/>
      <c r="R376" s="1659"/>
      <c r="S376" s="1078" t="str">
        <f t="shared" si="29"/>
        <v/>
      </c>
      <c r="T376" s="1661"/>
      <c r="U376" s="1659"/>
      <c r="V376" s="1078" t="str">
        <f t="shared" si="30"/>
        <v/>
      </c>
      <c r="W376" s="1010"/>
      <c r="X376" s="1010"/>
      <c r="Y376" s="1010"/>
      <c r="Z376" s="1010"/>
      <c r="AA376" s="1010"/>
      <c r="AB376" s="1010"/>
      <c r="AC376" s="1010"/>
      <c r="AD376" s="1010"/>
      <c r="AE376" s="1010"/>
      <c r="AF376" s="1010"/>
      <c r="AG376" s="1010"/>
      <c r="AH376" s="1010"/>
      <c r="AI376" s="1010"/>
      <c r="AJ376" s="1010"/>
      <c r="AK376" s="1010"/>
      <c r="AL376" s="1010"/>
      <c r="AM376" s="1010"/>
      <c r="AN376" s="1010"/>
      <c r="AO376" s="1010"/>
      <c r="AP376" s="1010"/>
      <c r="AQ376" s="1010"/>
      <c r="AR376" s="1010"/>
      <c r="AS376" s="1010"/>
      <c r="AT376" s="1010"/>
      <c r="AU376" s="1010"/>
      <c r="AV376" s="1010"/>
      <c r="AW376" s="1010"/>
    </row>
    <row r="377" spans="1:49" s="1016" customFormat="1" x14ac:dyDescent="0.2">
      <c r="A377" s="1010"/>
      <c r="B377" s="1029"/>
      <c r="C377" s="1030"/>
      <c r="D377" s="1029"/>
      <c r="E377" s="1032"/>
      <c r="F377" s="1032"/>
      <c r="G377" s="1020"/>
      <c r="H377" s="1659"/>
      <c r="I377" s="1659"/>
      <c r="J377" s="1077" t="str">
        <f t="shared" si="26"/>
        <v/>
      </c>
      <c r="K377" s="1659"/>
      <c r="L377" s="1659"/>
      <c r="M377" s="1078" t="str">
        <f t="shared" si="27"/>
        <v/>
      </c>
      <c r="N377" s="1659"/>
      <c r="O377" s="1659"/>
      <c r="P377" s="1078" t="str">
        <f t="shared" si="28"/>
        <v/>
      </c>
      <c r="Q377" s="1659"/>
      <c r="R377" s="1659"/>
      <c r="S377" s="1078" t="str">
        <f t="shared" si="29"/>
        <v/>
      </c>
      <c r="T377" s="1661"/>
      <c r="U377" s="1659"/>
      <c r="V377" s="1078" t="str">
        <f t="shared" si="30"/>
        <v/>
      </c>
      <c r="W377" s="1010"/>
      <c r="X377" s="1010"/>
      <c r="Y377" s="1010"/>
      <c r="Z377" s="1010"/>
      <c r="AA377" s="1010"/>
      <c r="AB377" s="1010"/>
      <c r="AC377" s="1010"/>
      <c r="AD377" s="1010"/>
      <c r="AE377" s="1010"/>
      <c r="AF377" s="1010"/>
      <c r="AG377" s="1010"/>
      <c r="AH377" s="1010"/>
      <c r="AI377" s="1010"/>
      <c r="AJ377" s="1010"/>
      <c r="AK377" s="1010"/>
      <c r="AL377" s="1010"/>
      <c r="AM377" s="1010"/>
      <c r="AN377" s="1010"/>
      <c r="AO377" s="1010"/>
      <c r="AP377" s="1010"/>
      <c r="AQ377" s="1010"/>
      <c r="AR377" s="1010"/>
      <c r="AS377" s="1010"/>
      <c r="AT377" s="1010"/>
      <c r="AU377" s="1010"/>
      <c r="AV377" s="1010"/>
      <c r="AW377" s="1010"/>
    </row>
    <row r="378" spans="1:49" s="1016" customFormat="1" x14ac:dyDescent="0.2">
      <c r="A378" s="1010"/>
      <c r="B378" s="1029"/>
      <c r="C378" s="1030"/>
      <c r="D378" s="1029"/>
      <c r="E378" s="1032"/>
      <c r="F378" s="1032"/>
      <c r="G378" s="1020"/>
      <c r="H378" s="1659"/>
      <c r="I378" s="1659"/>
      <c r="J378" s="1077" t="str">
        <f t="shared" si="26"/>
        <v/>
      </c>
      <c r="K378" s="1659"/>
      <c r="L378" s="1659"/>
      <c r="M378" s="1078" t="str">
        <f t="shared" si="27"/>
        <v/>
      </c>
      <c r="N378" s="1659"/>
      <c r="O378" s="1659"/>
      <c r="P378" s="1078" t="str">
        <f t="shared" si="28"/>
        <v/>
      </c>
      <c r="Q378" s="1659"/>
      <c r="R378" s="1659"/>
      <c r="S378" s="1078" t="str">
        <f t="shared" si="29"/>
        <v/>
      </c>
      <c r="T378" s="1661"/>
      <c r="U378" s="1659"/>
      <c r="V378" s="1078" t="str">
        <f t="shared" si="30"/>
        <v/>
      </c>
      <c r="W378" s="1010"/>
      <c r="X378" s="1010"/>
      <c r="Y378" s="1010"/>
      <c r="Z378" s="1010"/>
      <c r="AA378" s="1010"/>
      <c r="AB378" s="1010"/>
      <c r="AC378" s="1010"/>
      <c r="AD378" s="1010"/>
      <c r="AE378" s="1010"/>
      <c r="AF378" s="1010"/>
      <c r="AG378" s="1010"/>
      <c r="AH378" s="1010"/>
      <c r="AI378" s="1010"/>
      <c r="AJ378" s="1010"/>
      <c r="AK378" s="1010"/>
      <c r="AL378" s="1010"/>
      <c r="AM378" s="1010"/>
      <c r="AN378" s="1010"/>
      <c r="AO378" s="1010"/>
      <c r="AP378" s="1010"/>
      <c r="AQ378" s="1010"/>
      <c r="AR378" s="1010"/>
      <c r="AS378" s="1010"/>
      <c r="AT378" s="1010"/>
      <c r="AU378" s="1010"/>
      <c r="AV378" s="1010"/>
      <c r="AW378" s="1010"/>
    </row>
    <row r="379" spans="1:49" s="1016" customFormat="1" x14ac:dyDescent="0.2">
      <c r="A379" s="1010"/>
      <c r="B379" s="1029"/>
      <c r="C379" s="1030"/>
      <c r="D379" s="1029"/>
      <c r="E379" s="1049"/>
      <c r="F379" s="1049"/>
      <c r="G379" s="1020"/>
      <c r="H379" s="1659"/>
      <c r="I379" s="1659"/>
      <c r="J379" s="1077" t="str">
        <f t="shared" si="26"/>
        <v/>
      </c>
      <c r="K379" s="1659"/>
      <c r="L379" s="1659"/>
      <c r="M379" s="1078" t="str">
        <f t="shared" si="27"/>
        <v/>
      </c>
      <c r="N379" s="1659"/>
      <c r="O379" s="1659"/>
      <c r="P379" s="1078" t="str">
        <f t="shared" si="28"/>
        <v/>
      </c>
      <c r="Q379" s="1659"/>
      <c r="R379" s="1659"/>
      <c r="S379" s="1078" t="str">
        <f t="shared" si="29"/>
        <v/>
      </c>
      <c r="T379" s="1661"/>
      <c r="U379" s="1659"/>
      <c r="V379" s="1078" t="str">
        <f t="shared" si="30"/>
        <v/>
      </c>
      <c r="W379" s="1010"/>
      <c r="X379" s="1010"/>
      <c r="Y379" s="1010"/>
      <c r="Z379" s="1010"/>
      <c r="AA379" s="1010"/>
      <c r="AB379" s="1010"/>
      <c r="AC379" s="1010"/>
      <c r="AD379" s="1010"/>
      <c r="AE379" s="1010"/>
      <c r="AF379" s="1010"/>
      <c r="AG379" s="1010"/>
      <c r="AH379" s="1010"/>
      <c r="AI379" s="1010"/>
      <c r="AJ379" s="1010"/>
      <c r="AK379" s="1010"/>
      <c r="AL379" s="1010"/>
      <c r="AM379" s="1010"/>
      <c r="AN379" s="1010"/>
      <c r="AO379" s="1010"/>
      <c r="AP379" s="1010"/>
      <c r="AQ379" s="1010"/>
      <c r="AR379" s="1010"/>
      <c r="AS379" s="1010"/>
      <c r="AT379" s="1010"/>
      <c r="AU379" s="1010"/>
      <c r="AV379" s="1010"/>
      <c r="AW379" s="1010"/>
    </row>
    <row r="380" spans="1:49" s="1016" customFormat="1" x14ac:dyDescent="0.2">
      <c r="A380" s="1010"/>
      <c r="B380" s="1029"/>
      <c r="C380" s="1030"/>
      <c r="D380" s="1029"/>
      <c r="E380" s="1050"/>
      <c r="F380" s="1050"/>
      <c r="G380" s="1020"/>
      <c r="H380" s="1659"/>
      <c r="I380" s="1659"/>
      <c r="J380" s="1077" t="str">
        <f t="shared" si="26"/>
        <v/>
      </c>
      <c r="K380" s="1659"/>
      <c r="L380" s="1659"/>
      <c r="M380" s="1078" t="str">
        <f t="shared" si="27"/>
        <v/>
      </c>
      <c r="N380" s="1659"/>
      <c r="O380" s="1659"/>
      <c r="P380" s="1078" t="str">
        <f t="shared" si="28"/>
        <v/>
      </c>
      <c r="Q380" s="1659"/>
      <c r="R380" s="1659"/>
      <c r="S380" s="1078" t="str">
        <f t="shared" si="29"/>
        <v/>
      </c>
      <c r="T380" s="1661"/>
      <c r="U380" s="1659"/>
      <c r="V380" s="1078" t="str">
        <f t="shared" si="30"/>
        <v/>
      </c>
      <c r="W380" s="1010"/>
      <c r="X380" s="1010"/>
      <c r="Y380" s="1010"/>
      <c r="Z380" s="1010"/>
      <c r="AA380" s="1010"/>
      <c r="AB380" s="1010"/>
      <c r="AC380" s="1010"/>
      <c r="AD380" s="1010"/>
      <c r="AE380" s="1010"/>
      <c r="AF380" s="1010"/>
      <c r="AG380" s="1010"/>
      <c r="AH380" s="1010"/>
      <c r="AI380" s="1010"/>
      <c r="AJ380" s="1010"/>
      <c r="AK380" s="1010"/>
      <c r="AL380" s="1010"/>
      <c r="AM380" s="1010"/>
      <c r="AN380" s="1010"/>
      <c r="AO380" s="1010"/>
      <c r="AP380" s="1010"/>
      <c r="AQ380" s="1010"/>
      <c r="AR380" s="1010"/>
      <c r="AS380" s="1010"/>
      <c r="AT380" s="1010"/>
      <c r="AU380" s="1010"/>
      <c r="AV380" s="1010"/>
      <c r="AW380" s="1010"/>
    </row>
    <row r="381" spans="1:49" s="1016" customFormat="1" x14ac:dyDescent="0.2">
      <c r="A381" s="1010"/>
      <c r="B381" s="1029"/>
      <c r="C381" s="1030"/>
      <c r="D381" s="1029"/>
      <c r="E381" s="1050"/>
      <c r="F381" s="1050"/>
      <c r="G381" s="1020"/>
      <c r="H381" s="1659"/>
      <c r="I381" s="1659"/>
      <c r="J381" s="1077" t="str">
        <f t="shared" si="26"/>
        <v/>
      </c>
      <c r="K381" s="1659"/>
      <c r="L381" s="1659"/>
      <c r="M381" s="1078" t="str">
        <f t="shared" si="27"/>
        <v/>
      </c>
      <c r="N381" s="1659"/>
      <c r="O381" s="1659"/>
      <c r="P381" s="1078" t="str">
        <f t="shared" si="28"/>
        <v/>
      </c>
      <c r="Q381" s="1659"/>
      <c r="R381" s="1659"/>
      <c r="S381" s="1078" t="str">
        <f t="shared" si="29"/>
        <v/>
      </c>
      <c r="T381" s="1661"/>
      <c r="U381" s="1659"/>
      <c r="V381" s="1078" t="str">
        <f t="shared" si="30"/>
        <v/>
      </c>
      <c r="W381" s="1010"/>
      <c r="X381" s="1010"/>
      <c r="Y381" s="1010"/>
      <c r="Z381" s="1010"/>
      <c r="AA381" s="1010"/>
      <c r="AB381" s="1010"/>
      <c r="AC381" s="1010"/>
      <c r="AD381" s="1010"/>
      <c r="AE381" s="1010"/>
      <c r="AF381" s="1010"/>
      <c r="AG381" s="1010"/>
      <c r="AH381" s="1010"/>
      <c r="AI381" s="1010"/>
      <c r="AJ381" s="1010"/>
      <c r="AK381" s="1010"/>
      <c r="AL381" s="1010"/>
      <c r="AM381" s="1010"/>
      <c r="AN381" s="1010"/>
      <c r="AO381" s="1010"/>
      <c r="AP381" s="1010"/>
      <c r="AQ381" s="1010"/>
      <c r="AR381" s="1010"/>
      <c r="AS381" s="1010"/>
      <c r="AT381" s="1010"/>
      <c r="AU381" s="1010"/>
      <c r="AV381" s="1010"/>
      <c r="AW381" s="1010"/>
    </row>
    <row r="382" spans="1:49" s="1016" customFormat="1" x14ac:dyDescent="0.2">
      <c r="A382" s="1010"/>
      <c r="B382" s="1029"/>
      <c r="C382" s="1030"/>
      <c r="D382" s="1029"/>
      <c r="E382" s="1050"/>
      <c r="F382" s="1050"/>
      <c r="G382" s="1020"/>
      <c r="H382" s="1659"/>
      <c r="I382" s="1659"/>
      <c r="J382" s="1077" t="str">
        <f t="shared" si="26"/>
        <v/>
      </c>
      <c r="K382" s="1659"/>
      <c r="L382" s="1659"/>
      <c r="M382" s="1078" t="str">
        <f t="shared" si="27"/>
        <v/>
      </c>
      <c r="N382" s="1659"/>
      <c r="O382" s="1659"/>
      <c r="P382" s="1078" t="str">
        <f t="shared" si="28"/>
        <v/>
      </c>
      <c r="Q382" s="1659"/>
      <c r="R382" s="1659"/>
      <c r="S382" s="1078" t="str">
        <f t="shared" si="29"/>
        <v/>
      </c>
      <c r="T382" s="1661"/>
      <c r="U382" s="1659"/>
      <c r="V382" s="1078" t="str">
        <f t="shared" si="30"/>
        <v/>
      </c>
      <c r="W382" s="1010"/>
      <c r="X382" s="1010"/>
      <c r="Y382" s="1010"/>
      <c r="Z382" s="1010"/>
      <c r="AA382" s="1010"/>
      <c r="AB382" s="1010"/>
      <c r="AC382" s="1010"/>
      <c r="AD382" s="1010"/>
      <c r="AE382" s="1010"/>
      <c r="AF382" s="1010"/>
      <c r="AG382" s="1010"/>
      <c r="AH382" s="1010"/>
      <c r="AI382" s="1010"/>
      <c r="AJ382" s="1010"/>
      <c r="AK382" s="1010"/>
      <c r="AL382" s="1010"/>
      <c r="AM382" s="1010"/>
      <c r="AN382" s="1010"/>
      <c r="AO382" s="1010"/>
      <c r="AP382" s="1010"/>
      <c r="AQ382" s="1010"/>
      <c r="AR382" s="1010"/>
      <c r="AS382" s="1010"/>
      <c r="AT382" s="1010"/>
      <c r="AU382" s="1010"/>
      <c r="AV382" s="1010"/>
      <c r="AW382" s="1010"/>
    </row>
    <row r="383" spans="1:49" s="1016" customFormat="1" x14ac:dyDescent="0.2">
      <c r="A383" s="1010"/>
      <c r="B383" s="1029"/>
      <c r="C383" s="1030"/>
      <c r="D383" s="1029"/>
      <c r="E383" s="1050"/>
      <c r="F383" s="1050"/>
      <c r="G383" s="1020"/>
      <c r="H383" s="1659"/>
      <c r="I383" s="1659"/>
      <c r="J383" s="1077" t="str">
        <f t="shared" si="26"/>
        <v/>
      </c>
      <c r="K383" s="1659"/>
      <c r="L383" s="1659"/>
      <c r="M383" s="1078" t="str">
        <f t="shared" si="27"/>
        <v/>
      </c>
      <c r="N383" s="1659"/>
      <c r="O383" s="1659"/>
      <c r="P383" s="1078" t="str">
        <f t="shared" si="28"/>
        <v/>
      </c>
      <c r="Q383" s="1659"/>
      <c r="R383" s="1659"/>
      <c r="S383" s="1078" t="str">
        <f t="shared" si="29"/>
        <v/>
      </c>
      <c r="T383" s="1661"/>
      <c r="U383" s="1659"/>
      <c r="V383" s="1078" t="str">
        <f t="shared" si="30"/>
        <v/>
      </c>
      <c r="W383" s="1010"/>
      <c r="X383" s="1010"/>
      <c r="Y383" s="1010"/>
      <c r="Z383" s="1010"/>
      <c r="AA383" s="1010"/>
      <c r="AB383" s="1010"/>
      <c r="AC383" s="1010"/>
      <c r="AD383" s="1010"/>
      <c r="AE383" s="1010"/>
      <c r="AF383" s="1010"/>
      <c r="AG383" s="1010"/>
      <c r="AH383" s="1010"/>
      <c r="AI383" s="1010"/>
      <c r="AJ383" s="1010"/>
      <c r="AK383" s="1010"/>
      <c r="AL383" s="1010"/>
      <c r="AM383" s="1010"/>
      <c r="AN383" s="1010"/>
      <c r="AO383" s="1010"/>
      <c r="AP383" s="1010"/>
      <c r="AQ383" s="1010"/>
      <c r="AR383" s="1010"/>
      <c r="AS383" s="1010"/>
      <c r="AT383" s="1010"/>
      <c r="AU383" s="1010"/>
      <c r="AV383" s="1010"/>
      <c r="AW383" s="1010"/>
    </row>
    <row r="384" spans="1:49" s="1016" customFormat="1" x14ac:dyDescent="0.2">
      <c r="A384" s="1010"/>
      <c r="B384" s="1029"/>
      <c r="C384" s="1030"/>
      <c r="D384" s="1029"/>
      <c r="E384" s="1050"/>
      <c r="F384" s="1050"/>
      <c r="G384" s="1020"/>
      <c r="H384" s="1659"/>
      <c r="I384" s="1659"/>
      <c r="J384" s="1077" t="str">
        <f t="shared" si="26"/>
        <v/>
      </c>
      <c r="K384" s="1659"/>
      <c r="L384" s="1659"/>
      <c r="M384" s="1078" t="str">
        <f t="shared" si="27"/>
        <v/>
      </c>
      <c r="N384" s="1659"/>
      <c r="O384" s="1659"/>
      <c r="P384" s="1078" t="str">
        <f t="shared" si="28"/>
        <v/>
      </c>
      <c r="Q384" s="1659"/>
      <c r="R384" s="1659"/>
      <c r="S384" s="1078" t="str">
        <f t="shared" si="29"/>
        <v/>
      </c>
      <c r="T384" s="1661"/>
      <c r="U384" s="1659"/>
      <c r="V384" s="1078" t="str">
        <f t="shared" si="30"/>
        <v/>
      </c>
      <c r="W384" s="1010"/>
      <c r="X384" s="1010"/>
      <c r="Y384" s="1010"/>
      <c r="Z384" s="1010"/>
      <c r="AA384" s="1010"/>
      <c r="AB384" s="1010"/>
      <c r="AC384" s="1010"/>
      <c r="AD384" s="1010"/>
      <c r="AE384" s="1010"/>
      <c r="AF384" s="1010"/>
      <c r="AG384" s="1010"/>
      <c r="AH384" s="1010"/>
      <c r="AI384" s="1010"/>
      <c r="AJ384" s="1010"/>
      <c r="AK384" s="1010"/>
      <c r="AL384" s="1010"/>
      <c r="AM384" s="1010"/>
      <c r="AN384" s="1010"/>
      <c r="AO384" s="1010"/>
      <c r="AP384" s="1010"/>
      <c r="AQ384" s="1010"/>
      <c r="AR384" s="1010"/>
      <c r="AS384" s="1010"/>
      <c r="AT384" s="1010"/>
      <c r="AU384" s="1010"/>
      <c r="AV384" s="1010"/>
      <c r="AW384" s="1010"/>
    </row>
    <row r="385" spans="2:23" x14ac:dyDescent="0.2">
      <c r="B385" s="1029"/>
      <c r="C385" s="1030"/>
      <c r="D385" s="1029"/>
      <c r="E385" s="1050"/>
      <c r="F385" s="1050"/>
      <c r="G385" s="1020"/>
      <c r="H385" s="1659"/>
      <c r="I385" s="1659"/>
      <c r="J385" s="1077" t="str">
        <f t="shared" si="26"/>
        <v/>
      </c>
      <c r="K385" s="1659"/>
      <c r="L385" s="1659"/>
      <c r="M385" s="1078" t="str">
        <f t="shared" si="27"/>
        <v/>
      </c>
      <c r="N385" s="1659"/>
      <c r="O385" s="1659"/>
      <c r="P385" s="1078" t="str">
        <f t="shared" si="28"/>
        <v/>
      </c>
      <c r="Q385" s="1659"/>
      <c r="R385" s="1659"/>
      <c r="S385" s="1078" t="str">
        <f t="shared" si="29"/>
        <v/>
      </c>
      <c r="T385" s="1661"/>
      <c r="U385" s="1659"/>
      <c r="V385" s="1078" t="str">
        <f t="shared" si="30"/>
        <v/>
      </c>
      <c r="W385" s="1010"/>
    </row>
    <row r="386" spans="2:23" x14ac:dyDescent="0.2">
      <c r="B386" s="1029"/>
      <c r="C386" s="1030"/>
      <c r="D386" s="1029"/>
      <c r="E386" s="1050"/>
      <c r="F386" s="1050"/>
      <c r="G386" s="1020"/>
      <c r="H386" s="1659"/>
      <c r="I386" s="1659"/>
      <c r="J386" s="1077" t="str">
        <f t="shared" si="26"/>
        <v/>
      </c>
      <c r="K386" s="1659"/>
      <c r="L386" s="1659"/>
      <c r="M386" s="1078" t="str">
        <f t="shared" si="27"/>
        <v/>
      </c>
      <c r="N386" s="1659"/>
      <c r="O386" s="1659"/>
      <c r="P386" s="1078" t="str">
        <f t="shared" si="28"/>
        <v/>
      </c>
      <c r="Q386" s="1659"/>
      <c r="R386" s="1659"/>
      <c r="S386" s="1078" t="str">
        <f t="shared" si="29"/>
        <v/>
      </c>
      <c r="T386" s="1661"/>
      <c r="U386" s="1659"/>
      <c r="V386" s="1078" t="str">
        <f t="shared" si="30"/>
        <v/>
      </c>
      <c r="W386" s="1010"/>
    </row>
    <row r="387" spans="2:23" x14ac:dyDescent="0.2">
      <c r="B387" s="1029"/>
      <c r="C387" s="1030"/>
      <c r="D387" s="1029"/>
      <c r="E387" s="1050"/>
      <c r="F387" s="1050"/>
      <c r="G387" s="1020"/>
      <c r="H387" s="1659"/>
      <c r="I387" s="1659"/>
      <c r="J387" s="1077" t="str">
        <f t="shared" si="26"/>
        <v/>
      </c>
      <c r="K387" s="1659"/>
      <c r="L387" s="1659"/>
      <c r="M387" s="1078" t="str">
        <f t="shared" si="27"/>
        <v/>
      </c>
      <c r="N387" s="1659"/>
      <c r="O387" s="1659"/>
      <c r="P387" s="1078" t="str">
        <f t="shared" si="28"/>
        <v/>
      </c>
      <c r="Q387" s="1659"/>
      <c r="R387" s="1659"/>
      <c r="S387" s="1078" t="str">
        <f t="shared" si="29"/>
        <v/>
      </c>
      <c r="T387" s="1661"/>
      <c r="U387" s="1659"/>
      <c r="V387" s="1078" t="str">
        <f t="shared" si="30"/>
        <v/>
      </c>
      <c r="W387" s="1010"/>
    </row>
    <row r="388" spans="2:23" x14ac:dyDescent="0.2">
      <c r="B388" s="1029"/>
      <c r="C388" s="1030"/>
      <c r="D388" s="1029"/>
      <c r="E388" s="1050"/>
      <c r="F388" s="1050"/>
      <c r="G388" s="1020"/>
      <c r="H388" s="1659"/>
      <c r="I388" s="1659"/>
      <c r="J388" s="1077" t="str">
        <f t="shared" si="26"/>
        <v/>
      </c>
      <c r="K388" s="1659"/>
      <c r="L388" s="1659"/>
      <c r="M388" s="1078" t="str">
        <f t="shared" si="27"/>
        <v/>
      </c>
      <c r="N388" s="1659"/>
      <c r="O388" s="1659"/>
      <c r="P388" s="1078" t="str">
        <f t="shared" si="28"/>
        <v/>
      </c>
      <c r="Q388" s="1659"/>
      <c r="R388" s="1659"/>
      <c r="S388" s="1078" t="str">
        <f t="shared" si="29"/>
        <v/>
      </c>
      <c r="T388" s="1661"/>
      <c r="U388" s="1659"/>
      <c r="V388" s="1078" t="str">
        <f t="shared" si="30"/>
        <v/>
      </c>
      <c r="W388" s="1010"/>
    </row>
    <row r="389" spans="2:23" x14ac:dyDescent="0.2">
      <c r="B389" s="1029"/>
      <c r="C389" s="1030"/>
      <c r="D389" s="1029"/>
      <c r="E389" s="1051"/>
      <c r="F389" s="1051"/>
      <c r="G389" s="1020"/>
      <c r="H389" s="1659"/>
      <c r="I389" s="1659"/>
      <c r="J389" s="1077" t="str">
        <f t="shared" si="26"/>
        <v/>
      </c>
      <c r="K389" s="1659"/>
      <c r="L389" s="1659"/>
      <c r="M389" s="1078" t="str">
        <f t="shared" si="27"/>
        <v/>
      </c>
      <c r="N389" s="1659"/>
      <c r="O389" s="1659"/>
      <c r="P389" s="1078" t="str">
        <f t="shared" si="28"/>
        <v/>
      </c>
      <c r="Q389" s="1659"/>
      <c r="R389" s="1659"/>
      <c r="S389" s="1078" t="str">
        <f t="shared" si="29"/>
        <v/>
      </c>
      <c r="T389" s="1661"/>
      <c r="U389" s="1659"/>
      <c r="V389" s="1078" t="str">
        <f t="shared" si="30"/>
        <v/>
      </c>
      <c r="W389" s="1010"/>
    </row>
    <row r="390" spans="2:23" x14ac:dyDescent="0.2">
      <c r="B390" s="1029"/>
      <c r="C390" s="1030"/>
      <c r="D390" s="1029"/>
      <c r="E390" s="1052"/>
      <c r="F390" s="1052"/>
      <c r="G390" s="1020"/>
      <c r="H390" s="1659"/>
      <c r="I390" s="1659"/>
      <c r="J390" s="1077" t="str">
        <f t="shared" si="26"/>
        <v/>
      </c>
      <c r="K390" s="1659"/>
      <c r="L390" s="1659"/>
      <c r="M390" s="1078" t="str">
        <f t="shared" si="27"/>
        <v/>
      </c>
      <c r="N390" s="1659"/>
      <c r="O390" s="1659"/>
      <c r="P390" s="1078" t="str">
        <f t="shared" si="28"/>
        <v/>
      </c>
      <c r="Q390" s="1659"/>
      <c r="R390" s="1659"/>
      <c r="S390" s="1078" t="str">
        <f t="shared" si="29"/>
        <v/>
      </c>
      <c r="T390" s="1661"/>
      <c r="U390" s="1659"/>
      <c r="V390" s="1078" t="str">
        <f t="shared" si="30"/>
        <v/>
      </c>
      <c r="W390" s="1010"/>
    </row>
    <row r="391" spans="2:23" x14ac:dyDescent="0.2">
      <c r="B391" s="1029"/>
      <c r="C391" s="1030"/>
      <c r="D391" s="1029"/>
      <c r="E391" s="1052"/>
      <c r="F391" s="1052"/>
      <c r="G391" s="1020"/>
      <c r="H391" s="1659"/>
      <c r="I391" s="1659"/>
      <c r="J391" s="1077" t="str">
        <f t="shared" si="26"/>
        <v/>
      </c>
      <c r="K391" s="1659"/>
      <c r="L391" s="1659"/>
      <c r="M391" s="1078" t="str">
        <f t="shared" si="27"/>
        <v/>
      </c>
      <c r="N391" s="1659"/>
      <c r="O391" s="1659"/>
      <c r="P391" s="1078" t="str">
        <f t="shared" si="28"/>
        <v/>
      </c>
      <c r="Q391" s="1659"/>
      <c r="R391" s="1659"/>
      <c r="S391" s="1078" t="str">
        <f t="shared" si="29"/>
        <v/>
      </c>
      <c r="T391" s="1661"/>
      <c r="U391" s="1659"/>
      <c r="V391" s="1078" t="str">
        <f t="shared" si="30"/>
        <v/>
      </c>
      <c r="W391" s="1010"/>
    </row>
    <row r="392" spans="2:23" x14ac:dyDescent="0.2">
      <c r="B392" s="1029"/>
      <c r="C392" s="1030"/>
      <c r="D392" s="1029"/>
      <c r="E392" s="1036"/>
      <c r="F392" s="1036"/>
      <c r="G392" s="1020"/>
      <c r="H392" s="1659"/>
      <c r="I392" s="1659"/>
      <c r="J392" s="1077" t="str">
        <f t="shared" si="26"/>
        <v/>
      </c>
      <c r="K392" s="1659"/>
      <c r="L392" s="1659"/>
      <c r="M392" s="1078" t="str">
        <f t="shared" si="27"/>
        <v/>
      </c>
      <c r="N392" s="1659"/>
      <c r="O392" s="1659"/>
      <c r="P392" s="1078" t="str">
        <f t="shared" si="28"/>
        <v/>
      </c>
      <c r="Q392" s="1659"/>
      <c r="R392" s="1659"/>
      <c r="S392" s="1078" t="str">
        <f t="shared" si="29"/>
        <v/>
      </c>
      <c r="T392" s="1661"/>
      <c r="U392" s="1659"/>
      <c r="V392" s="1078" t="str">
        <f t="shared" si="30"/>
        <v/>
      </c>
      <c r="W392" s="1010"/>
    </row>
    <row r="393" spans="2:23" x14ac:dyDescent="0.2">
      <c r="B393" s="1029"/>
      <c r="C393" s="1030"/>
      <c r="D393" s="1029"/>
      <c r="E393" s="1036"/>
      <c r="F393" s="1036"/>
      <c r="G393" s="1020"/>
      <c r="H393" s="1659"/>
      <c r="I393" s="1659"/>
      <c r="J393" s="1077" t="str">
        <f t="shared" si="26"/>
        <v/>
      </c>
      <c r="K393" s="1659"/>
      <c r="L393" s="1659"/>
      <c r="M393" s="1078" t="str">
        <f t="shared" si="27"/>
        <v/>
      </c>
      <c r="N393" s="1659"/>
      <c r="O393" s="1659"/>
      <c r="P393" s="1078" t="str">
        <f t="shared" si="28"/>
        <v/>
      </c>
      <c r="Q393" s="1659"/>
      <c r="R393" s="1659"/>
      <c r="S393" s="1078" t="str">
        <f t="shared" si="29"/>
        <v/>
      </c>
      <c r="T393" s="1661"/>
      <c r="U393" s="1659"/>
      <c r="V393" s="1078" t="str">
        <f t="shared" si="30"/>
        <v/>
      </c>
      <c r="W393" s="1010"/>
    </row>
    <row r="394" spans="2:23" x14ac:dyDescent="0.2">
      <c r="B394" s="1029"/>
      <c r="C394" s="1030"/>
      <c r="D394" s="1029"/>
      <c r="E394" s="1053"/>
      <c r="F394" s="1053"/>
      <c r="G394" s="1020"/>
      <c r="H394" s="1659"/>
      <c r="I394" s="1659"/>
      <c r="J394" s="1077" t="str">
        <f t="shared" si="26"/>
        <v/>
      </c>
      <c r="K394" s="1659"/>
      <c r="L394" s="1659"/>
      <c r="M394" s="1078" t="str">
        <f t="shared" si="27"/>
        <v/>
      </c>
      <c r="N394" s="1659"/>
      <c r="O394" s="1659"/>
      <c r="P394" s="1078" t="str">
        <f t="shared" si="28"/>
        <v/>
      </c>
      <c r="Q394" s="1659"/>
      <c r="R394" s="1659"/>
      <c r="S394" s="1078" t="str">
        <f t="shared" si="29"/>
        <v/>
      </c>
      <c r="T394" s="1661"/>
      <c r="U394" s="1659"/>
      <c r="V394" s="1078" t="str">
        <f t="shared" si="30"/>
        <v/>
      </c>
      <c r="W394" s="1010"/>
    </row>
    <row r="395" spans="2:23" x14ac:dyDescent="0.2">
      <c r="B395" s="1029"/>
      <c r="C395" s="1030"/>
      <c r="D395" s="1029"/>
      <c r="E395" s="1053"/>
      <c r="F395" s="1053"/>
      <c r="G395" s="1020"/>
      <c r="H395" s="1659"/>
      <c r="I395" s="1659"/>
      <c r="J395" s="1077" t="str">
        <f t="shared" si="26"/>
        <v/>
      </c>
      <c r="K395" s="1659"/>
      <c r="L395" s="1659"/>
      <c r="M395" s="1078" t="str">
        <f t="shared" si="27"/>
        <v/>
      </c>
      <c r="N395" s="1659"/>
      <c r="O395" s="1659"/>
      <c r="P395" s="1078" t="str">
        <f t="shared" si="28"/>
        <v/>
      </c>
      <c r="Q395" s="1659"/>
      <c r="R395" s="1659"/>
      <c r="S395" s="1078" t="str">
        <f t="shared" si="29"/>
        <v/>
      </c>
      <c r="T395" s="1661"/>
      <c r="U395" s="1659"/>
      <c r="V395" s="1078" t="str">
        <f t="shared" si="30"/>
        <v/>
      </c>
      <c r="W395" s="1010"/>
    </row>
    <row r="396" spans="2:23" x14ac:dyDescent="0.2">
      <c r="B396" s="1029"/>
      <c r="C396" s="1030"/>
      <c r="D396" s="1029"/>
      <c r="E396" s="1053"/>
      <c r="F396" s="1053"/>
      <c r="G396" s="1020"/>
      <c r="H396" s="1659"/>
      <c r="I396" s="1659"/>
      <c r="J396" s="1077" t="str">
        <f t="shared" si="26"/>
        <v/>
      </c>
      <c r="K396" s="1659"/>
      <c r="L396" s="1659"/>
      <c r="M396" s="1078" t="str">
        <f t="shared" si="27"/>
        <v/>
      </c>
      <c r="N396" s="1659"/>
      <c r="O396" s="1659"/>
      <c r="P396" s="1078" t="str">
        <f t="shared" si="28"/>
        <v/>
      </c>
      <c r="Q396" s="1659"/>
      <c r="R396" s="1659"/>
      <c r="S396" s="1078" t="str">
        <f t="shared" si="29"/>
        <v/>
      </c>
      <c r="T396" s="1661"/>
      <c r="U396" s="1659"/>
      <c r="V396" s="1078" t="str">
        <f t="shared" si="30"/>
        <v/>
      </c>
      <c r="W396" s="1010"/>
    </row>
    <row r="397" spans="2:23" x14ac:dyDescent="0.2">
      <c r="B397" s="1029"/>
      <c r="C397" s="1030"/>
      <c r="D397" s="1029"/>
      <c r="E397" s="1053"/>
      <c r="F397" s="1053"/>
      <c r="G397" s="1020"/>
      <c r="H397" s="1659"/>
      <c r="I397" s="1659"/>
      <c r="J397" s="1077" t="str">
        <f t="shared" si="26"/>
        <v/>
      </c>
      <c r="K397" s="1659"/>
      <c r="L397" s="1659"/>
      <c r="M397" s="1078" t="str">
        <f t="shared" si="27"/>
        <v/>
      </c>
      <c r="N397" s="1659"/>
      <c r="O397" s="1659"/>
      <c r="P397" s="1078" t="str">
        <f t="shared" si="28"/>
        <v/>
      </c>
      <c r="Q397" s="1659"/>
      <c r="R397" s="1659"/>
      <c r="S397" s="1078" t="str">
        <f t="shared" si="29"/>
        <v/>
      </c>
      <c r="T397" s="1661"/>
      <c r="U397" s="1659"/>
      <c r="V397" s="1078" t="str">
        <f t="shared" si="30"/>
        <v/>
      </c>
      <c r="W397" s="1010"/>
    </row>
    <row r="398" spans="2:23" x14ac:dyDescent="0.2">
      <c r="B398" s="1029"/>
      <c r="C398" s="1030"/>
      <c r="D398" s="1029"/>
      <c r="E398" s="1053"/>
      <c r="F398" s="1053"/>
      <c r="G398" s="1020"/>
      <c r="H398" s="1659"/>
      <c r="I398" s="1659"/>
      <c r="J398" s="1077" t="str">
        <f t="shared" si="26"/>
        <v/>
      </c>
      <c r="K398" s="1659"/>
      <c r="L398" s="1659"/>
      <c r="M398" s="1078" t="str">
        <f t="shared" si="27"/>
        <v/>
      </c>
      <c r="N398" s="1659"/>
      <c r="O398" s="1659"/>
      <c r="P398" s="1078" t="str">
        <f t="shared" si="28"/>
        <v/>
      </c>
      <c r="Q398" s="1659"/>
      <c r="R398" s="1659"/>
      <c r="S398" s="1078" t="str">
        <f t="shared" si="29"/>
        <v/>
      </c>
      <c r="T398" s="1661"/>
      <c r="U398" s="1659"/>
      <c r="V398" s="1078" t="str">
        <f t="shared" si="30"/>
        <v/>
      </c>
      <c r="W398" s="1010"/>
    </row>
    <row r="399" spans="2:23" x14ac:dyDescent="0.2">
      <c r="B399" s="1029"/>
      <c r="C399" s="1030"/>
      <c r="D399" s="1029"/>
      <c r="E399" s="1054"/>
      <c r="F399" s="1054"/>
      <c r="G399" s="1020"/>
      <c r="H399" s="1659"/>
      <c r="I399" s="1659"/>
      <c r="J399" s="1077" t="str">
        <f t="shared" si="26"/>
        <v/>
      </c>
      <c r="K399" s="1659"/>
      <c r="L399" s="1659"/>
      <c r="M399" s="1078" t="str">
        <f t="shared" si="27"/>
        <v/>
      </c>
      <c r="N399" s="1659"/>
      <c r="O399" s="1659"/>
      <c r="P399" s="1078" t="str">
        <f t="shared" si="28"/>
        <v/>
      </c>
      <c r="Q399" s="1659"/>
      <c r="R399" s="1659"/>
      <c r="S399" s="1078" t="str">
        <f t="shared" si="29"/>
        <v/>
      </c>
      <c r="T399" s="1661"/>
      <c r="U399" s="1659"/>
      <c r="V399" s="1078" t="str">
        <f t="shared" si="30"/>
        <v/>
      </c>
      <c r="W399" s="1010"/>
    </row>
    <row r="400" spans="2:23" x14ac:dyDescent="0.2">
      <c r="B400" s="1029"/>
      <c r="C400" s="1030"/>
      <c r="D400" s="1029"/>
      <c r="E400" s="1038"/>
      <c r="F400" s="1038"/>
      <c r="G400" s="1020"/>
      <c r="H400" s="1659"/>
      <c r="I400" s="1659"/>
      <c r="J400" s="1077" t="str">
        <f t="shared" si="26"/>
        <v/>
      </c>
      <c r="K400" s="1659"/>
      <c r="L400" s="1659"/>
      <c r="M400" s="1078" t="str">
        <f t="shared" si="27"/>
        <v/>
      </c>
      <c r="N400" s="1659"/>
      <c r="O400" s="1659"/>
      <c r="P400" s="1078" t="str">
        <f t="shared" si="28"/>
        <v/>
      </c>
      <c r="Q400" s="1659"/>
      <c r="R400" s="1659"/>
      <c r="S400" s="1078" t="str">
        <f t="shared" si="29"/>
        <v/>
      </c>
      <c r="T400" s="1661"/>
      <c r="U400" s="1659"/>
      <c r="V400" s="1078" t="str">
        <f t="shared" si="30"/>
        <v/>
      </c>
      <c r="W400" s="1010"/>
    </row>
    <row r="401" spans="2:23" x14ac:dyDescent="0.2">
      <c r="B401" s="1029"/>
      <c r="C401" s="1030"/>
      <c r="D401" s="1029"/>
      <c r="E401" s="1038"/>
      <c r="F401" s="1038"/>
      <c r="G401" s="1020"/>
      <c r="H401" s="1659"/>
      <c r="I401" s="1659"/>
      <c r="J401" s="1077" t="str">
        <f t="shared" si="26"/>
        <v/>
      </c>
      <c r="K401" s="1659"/>
      <c r="L401" s="1659"/>
      <c r="M401" s="1078" t="str">
        <f t="shared" si="27"/>
        <v/>
      </c>
      <c r="N401" s="1659"/>
      <c r="O401" s="1659"/>
      <c r="P401" s="1078" t="str">
        <f t="shared" si="28"/>
        <v/>
      </c>
      <c r="Q401" s="1659"/>
      <c r="R401" s="1659"/>
      <c r="S401" s="1078" t="str">
        <f t="shared" si="29"/>
        <v/>
      </c>
      <c r="T401" s="1661"/>
      <c r="U401" s="1659"/>
      <c r="V401" s="1078" t="str">
        <f t="shared" si="30"/>
        <v/>
      </c>
      <c r="W401" s="1010"/>
    </row>
    <row r="402" spans="2:23" x14ac:dyDescent="0.2">
      <c r="B402" s="1029"/>
      <c r="C402" s="1030"/>
      <c r="D402" s="1029"/>
      <c r="E402" s="1038"/>
      <c r="F402" s="1038"/>
      <c r="G402" s="1020"/>
      <c r="H402" s="1659"/>
      <c r="I402" s="1659"/>
      <c r="J402" s="1077" t="str">
        <f t="shared" si="26"/>
        <v/>
      </c>
      <c r="K402" s="1659"/>
      <c r="L402" s="1659"/>
      <c r="M402" s="1078" t="str">
        <f t="shared" si="27"/>
        <v/>
      </c>
      <c r="N402" s="1659"/>
      <c r="O402" s="1659"/>
      <c r="P402" s="1078" t="str">
        <f t="shared" si="28"/>
        <v/>
      </c>
      <c r="Q402" s="1659"/>
      <c r="R402" s="1659"/>
      <c r="S402" s="1078" t="str">
        <f t="shared" si="29"/>
        <v/>
      </c>
      <c r="T402" s="1661"/>
      <c r="U402" s="1659"/>
      <c r="V402" s="1078" t="str">
        <f t="shared" si="30"/>
        <v/>
      </c>
      <c r="W402" s="1010"/>
    </row>
    <row r="403" spans="2:23" x14ac:dyDescent="0.2">
      <c r="B403" s="1029"/>
      <c r="C403" s="1030"/>
      <c r="D403" s="1029"/>
      <c r="E403" s="1038"/>
      <c r="F403" s="1038"/>
      <c r="G403" s="1020"/>
      <c r="H403" s="1659"/>
      <c r="I403" s="1659"/>
      <c r="J403" s="1077" t="str">
        <f t="shared" si="26"/>
        <v/>
      </c>
      <c r="K403" s="1659"/>
      <c r="L403" s="1659"/>
      <c r="M403" s="1078" t="str">
        <f t="shared" si="27"/>
        <v/>
      </c>
      <c r="N403" s="1659"/>
      <c r="O403" s="1659"/>
      <c r="P403" s="1078" t="str">
        <f t="shared" si="28"/>
        <v/>
      </c>
      <c r="Q403" s="1659"/>
      <c r="R403" s="1659"/>
      <c r="S403" s="1078" t="str">
        <f t="shared" si="29"/>
        <v/>
      </c>
      <c r="T403" s="1661"/>
      <c r="U403" s="1659"/>
      <c r="V403" s="1078" t="str">
        <f t="shared" si="30"/>
        <v/>
      </c>
      <c r="W403" s="1010"/>
    </row>
    <row r="404" spans="2:23" x14ac:dyDescent="0.2">
      <c r="B404" s="1029"/>
      <c r="C404" s="1030"/>
      <c r="D404" s="1029"/>
      <c r="E404" s="1038"/>
      <c r="F404" s="1038"/>
      <c r="G404" s="1020"/>
      <c r="H404" s="1659"/>
      <c r="I404" s="1659"/>
      <c r="J404" s="1077" t="str">
        <f t="shared" si="26"/>
        <v/>
      </c>
      <c r="K404" s="1659"/>
      <c r="L404" s="1659"/>
      <c r="M404" s="1078" t="str">
        <f t="shared" si="27"/>
        <v/>
      </c>
      <c r="N404" s="1659"/>
      <c r="O404" s="1659"/>
      <c r="P404" s="1078" t="str">
        <f t="shared" si="28"/>
        <v/>
      </c>
      <c r="Q404" s="1659"/>
      <c r="R404" s="1659"/>
      <c r="S404" s="1078" t="str">
        <f t="shared" si="29"/>
        <v/>
      </c>
      <c r="T404" s="1661"/>
      <c r="U404" s="1659"/>
      <c r="V404" s="1078" t="str">
        <f t="shared" si="30"/>
        <v/>
      </c>
      <c r="W404" s="1010"/>
    </row>
    <row r="405" spans="2:23" x14ac:dyDescent="0.2">
      <c r="B405" s="1029"/>
      <c r="C405" s="1030"/>
      <c r="D405" s="1029"/>
      <c r="E405" s="1038"/>
      <c r="F405" s="1038"/>
      <c r="G405" s="1020"/>
      <c r="H405" s="1659"/>
      <c r="I405" s="1659"/>
      <c r="J405" s="1077" t="str">
        <f t="shared" si="26"/>
        <v/>
      </c>
      <c r="K405" s="1659"/>
      <c r="L405" s="1659"/>
      <c r="M405" s="1078" t="str">
        <f t="shared" si="27"/>
        <v/>
      </c>
      <c r="N405" s="1659"/>
      <c r="O405" s="1659"/>
      <c r="P405" s="1078" t="str">
        <f t="shared" si="28"/>
        <v/>
      </c>
      <c r="Q405" s="1659"/>
      <c r="R405" s="1659"/>
      <c r="S405" s="1078" t="str">
        <f t="shared" si="29"/>
        <v/>
      </c>
      <c r="T405" s="1661"/>
      <c r="U405" s="1659"/>
      <c r="V405" s="1078" t="str">
        <f t="shared" si="30"/>
        <v/>
      </c>
      <c r="W405" s="1010"/>
    </row>
    <row r="406" spans="2:23" x14ac:dyDescent="0.2">
      <c r="B406" s="1029"/>
      <c r="C406" s="1030"/>
      <c r="D406" s="1029"/>
      <c r="E406" s="1038"/>
      <c r="F406" s="1038"/>
      <c r="G406" s="1020"/>
      <c r="H406" s="1659"/>
      <c r="I406" s="1659"/>
      <c r="J406" s="1077" t="str">
        <f t="shared" si="26"/>
        <v/>
      </c>
      <c r="K406" s="1659"/>
      <c r="L406" s="1659"/>
      <c r="M406" s="1078" t="str">
        <f t="shared" si="27"/>
        <v/>
      </c>
      <c r="N406" s="1659"/>
      <c r="O406" s="1659"/>
      <c r="P406" s="1078" t="str">
        <f t="shared" si="28"/>
        <v/>
      </c>
      <c r="Q406" s="1659"/>
      <c r="R406" s="1659"/>
      <c r="S406" s="1078" t="str">
        <f t="shared" si="29"/>
        <v/>
      </c>
      <c r="T406" s="1661"/>
      <c r="U406" s="1659"/>
      <c r="V406" s="1078" t="str">
        <f t="shared" si="30"/>
        <v/>
      </c>
      <c r="W406" s="1010"/>
    </row>
    <row r="407" spans="2:23" x14ac:dyDescent="0.2">
      <c r="B407" s="1029"/>
      <c r="C407" s="1030"/>
      <c r="D407" s="1029"/>
      <c r="E407" s="1055"/>
      <c r="F407" s="1055"/>
      <c r="G407" s="1020"/>
      <c r="H407" s="1659"/>
      <c r="I407" s="1659"/>
      <c r="J407" s="1077" t="str">
        <f t="shared" si="26"/>
        <v/>
      </c>
      <c r="K407" s="1659"/>
      <c r="L407" s="1659"/>
      <c r="M407" s="1078" t="str">
        <f t="shared" si="27"/>
        <v/>
      </c>
      <c r="N407" s="1659"/>
      <c r="O407" s="1659"/>
      <c r="P407" s="1078" t="str">
        <f t="shared" si="28"/>
        <v/>
      </c>
      <c r="Q407" s="1659"/>
      <c r="R407" s="1659"/>
      <c r="S407" s="1078" t="str">
        <f t="shared" si="29"/>
        <v/>
      </c>
      <c r="T407" s="1661"/>
      <c r="U407" s="1659"/>
      <c r="V407" s="1078" t="str">
        <f t="shared" si="30"/>
        <v/>
      </c>
      <c r="W407" s="1010"/>
    </row>
    <row r="408" spans="2:23" x14ac:dyDescent="0.2">
      <c r="B408" s="1029"/>
      <c r="C408" s="1030"/>
      <c r="D408" s="1029"/>
      <c r="E408" s="1038"/>
      <c r="F408" s="1038"/>
      <c r="G408" s="1020"/>
      <c r="H408" s="1659"/>
      <c r="I408" s="1659"/>
      <c r="J408" s="1077" t="str">
        <f t="shared" si="26"/>
        <v/>
      </c>
      <c r="K408" s="1659"/>
      <c r="L408" s="1659"/>
      <c r="M408" s="1078" t="str">
        <f t="shared" si="27"/>
        <v/>
      </c>
      <c r="N408" s="1659"/>
      <c r="O408" s="1659"/>
      <c r="P408" s="1078" t="str">
        <f t="shared" si="28"/>
        <v/>
      </c>
      <c r="Q408" s="1659"/>
      <c r="R408" s="1659"/>
      <c r="S408" s="1078" t="str">
        <f t="shared" si="29"/>
        <v/>
      </c>
      <c r="T408" s="1661"/>
      <c r="U408" s="1659"/>
      <c r="V408" s="1078" t="str">
        <f t="shared" si="30"/>
        <v/>
      </c>
      <c r="W408" s="1010"/>
    </row>
    <row r="409" spans="2:23" x14ac:dyDescent="0.2">
      <c r="B409" s="1029"/>
      <c r="C409" s="1030"/>
      <c r="D409" s="1029"/>
      <c r="E409" s="1053"/>
      <c r="F409" s="1053"/>
      <c r="G409" s="1020"/>
      <c r="H409" s="1659"/>
      <c r="I409" s="1659"/>
      <c r="J409" s="1077" t="str">
        <f t="shared" si="26"/>
        <v/>
      </c>
      <c r="K409" s="1659"/>
      <c r="L409" s="1659"/>
      <c r="M409" s="1078" t="str">
        <f t="shared" si="27"/>
        <v/>
      </c>
      <c r="N409" s="1659"/>
      <c r="O409" s="1659"/>
      <c r="P409" s="1078" t="str">
        <f t="shared" si="28"/>
        <v/>
      </c>
      <c r="Q409" s="1659"/>
      <c r="R409" s="1659"/>
      <c r="S409" s="1078" t="str">
        <f t="shared" si="29"/>
        <v/>
      </c>
      <c r="T409" s="1661"/>
      <c r="U409" s="1659"/>
      <c r="V409" s="1078" t="str">
        <f t="shared" si="30"/>
        <v/>
      </c>
      <c r="W409" s="1010"/>
    </row>
    <row r="410" spans="2:23" x14ac:dyDescent="0.2">
      <c r="B410" s="1029"/>
      <c r="C410" s="1030"/>
      <c r="D410" s="1029"/>
      <c r="E410" s="1038"/>
      <c r="F410" s="1038"/>
      <c r="G410" s="1020"/>
      <c r="H410" s="1659"/>
      <c r="I410" s="1659"/>
      <c r="J410" s="1077" t="str">
        <f t="shared" ref="J410:J450" si="31">IF(AND(H410=0,I410=0),"",IF(I410&lt;&gt;0,IF(I410&gt;H410,100,I410/H410*100),0))</f>
        <v/>
      </c>
      <c r="K410" s="1659"/>
      <c r="L410" s="1659"/>
      <c r="M410" s="1078" t="str">
        <f t="shared" ref="M410:M450" si="32">IF(AND(K410=0,L410=0),"",IF(L410&lt;&gt;0,IF(L410&gt;K410,100,L410/K410*100),0))</f>
        <v/>
      </c>
      <c r="N410" s="1659"/>
      <c r="O410" s="1659"/>
      <c r="P410" s="1078" t="str">
        <f t="shared" ref="P410:P450" si="33">IF(AND(N410=0,O410=0),"",IF(O410&lt;&gt;0,IF(O410&gt;N410,100,O410/N410*100),0))</f>
        <v/>
      </c>
      <c r="Q410" s="1659"/>
      <c r="R410" s="1659"/>
      <c r="S410" s="1078" t="str">
        <f t="shared" ref="S410:S450" si="34">IF(AND(Q410=0,R410=0),"",IF(R410&lt;&gt;0,IF(R410&lt;=Q410,100,100-(R410-Q410)),0))</f>
        <v/>
      </c>
      <c r="T410" s="1661"/>
      <c r="U410" s="1659"/>
      <c r="V410" s="1078" t="str">
        <f t="shared" ref="V410:V450" si="35">IF(AND(T410=0,U410=0),"",IF(U410&lt;&gt;0,IF(U410&gt;T410,100,U410/T410*100),0))</f>
        <v/>
      </c>
      <c r="W410" s="1010"/>
    </row>
    <row r="411" spans="2:23" x14ac:dyDescent="0.2">
      <c r="B411" s="1029"/>
      <c r="C411" s="1030"/>
      <c r="D411" s="1029"/>
      <c r="E411" s="1032"/>
      <c r="F411" s="1032"/>
      <c r="G411" s="1020"/>
      <c r="H411" s="1659"/>
      <c r="I411" s="1659"/>
      <c r="J411" s="1077" t="str">
        <f t="shared" si="31"/>
        <v/>
      </c>
      <c r="K411" s="1659"/>
      <c r="L411" s="1659"/>
      <c r="M411" s="1078" t="str">
        <f t="shared" si="32"/>
        <v/>
      </c>
      <c r="N411" s="1659"/>
      <c r="O411" s="1659"/>
      <c r="P411" s="1078" t="str">
        <f t="shared" si="33"/>
        <v/>
      </c>
      <c r="Q411" s="1659"/>
      <c r="R411" s="1659"/>
      <c r="S411" s="1078" t="str">
        <f t="shared" si="34"/>
        <v/>
      </c>
      <c r="T411" s="1661"/>
      <c r="U411" s="1659"/>
      <c r="V411" s="1078" t="str">
        <f t="shared" si="35"/>
        <v/>
      </c>
      <c r="W411" s="1010"/>
    </row>
    <row r="412" spans="2:23" x14ac:dyDescent="0.2">
      <c r="B412" s="1029"/>
      <c r="C412" s="1030"/>
      <c r="D412" s="1029"/>
      <c r="E412" s="1032"/>
      <c r="F412" s="1032"/>
      <c r="G412" s="1020"/>
      <c r="H412" s="1659"/>
      <c r="I412" s="1659"/>
      <c r="J412" s="1077" t="str">
        <f t="shared" si="31"/>
        <v/>
      </c>
      <c r="K412" s="1659"/>
      <c r="L412" s="1659"/>
      <c r="M412" s="1078" t="str">
        <f t="shared" si="32"/>
        <v/>
      </c>
      <c r="N412" s="1659"/>
      <c r="O412" s="1659"/>
      <c r="P412" s="1078" t="str">
        <f t="shared" si="33"/>
        <v/>
      </c>
      <c r="Q412" s="1659"/>
      <c r="R412" s="1659"/>
      <c r="S412" s="1078" t="str">
        <f t="shared" si="34"/>
        <v/>
      </c>
      <c r="T412" s="1661"/>
      <c r="U412" s="1659"/>
      <c r="V412" s="1078" t="str">
        <f t="shared" si="35"/>
        <v/>
      </c>
      <c r="W412" s="1010"/>
    </row>
    <row r="413" spans="2:23" x14ac:dyDescent="0.2">
      <c r="B413" s="1029"/>
      <c r="C413" s="1030"/>
      <c r="D413" s="1029"/>
      <c r="E413" s="1032"/>
      <c r="F413" s="1032"/>
      <c r="G413" s="1020"/>
      <c r="H413" s="1659"/>
      <c r="I413" s="1659"/>
      <c r="J413" s="1077" t="str">
        <f t="shared" si="31"/>
        <v/>
      </c>
      <c r="K413" s="1659"/>
      <c r="L413" s="1659"/>
      <c r="M413" s="1078" t="str">
        <f t="shared" si="32"/>
        <v/>
      </c>
      <c r="N413" s="1659"/>
      <c r="O413" s="1659"/>
      <c r="P413" s="1078" t="str">
        <f t="shared" si="33"/>
        <v/>
      </c>
      <c r="Q413" s="1659"/>
      <c r="R413" s="1659"/>
      <c r="S413" s="1078" t="str">
        <f t="shared" si="34"/>
        <v/>
      </c>
      <c r="T413" s="1661"/>
      <c r="U413" s="1659"/>
      <c r="V413" s="1078" t="str">
        <f t="shared" si="35"/>
        <v/>
      </c>
      <c r="W413" s="1010"/>
    </row>
    <row r="414" spans="2:23" x14ac:dyDescent="0.2">
      <c r="B414" s="1029"/>
      <c r="C414" s="1030"/>
      <c r="D414" s="1029"/>
      <c r="E414" s="1032"/>
      <c r="F414" s="1032"/>
      <c r="G414" s="1020"/>
      <c r="H414" s="1659"/>
      <c r="I414" s="1659"/>
      <c r="J414" s="1077" t="str">
        <f t="shared" si="31"/>
        <v/>
      </c>
      <c r="K414" s="1659"/>
      <c r="L414" s="1659"/>
      <c r="M414" s="1078" t="str">
        <f t="shared" si="32"/>
        <v/>
      </c>
      <c r="N414" s="1659"/>
      <c r="O414" s="1659"/>
      <c r="P414" s="1078" t="str">
        <f t="shared" si="33"/>
        <v/>
      </c>
      <c r="Q414" s="1659"/>
      <c r="R414" s="1659"/>
      <c r="S414" s="1078" t="str">
        <f t="shared" si="34"/>
        <v/>
      </c>
      <c r="T414" s="1661"/>
      <c r="U414" s="1659"/>
      <c r="V414" s="1078" t="str">
        <f t="shared" si="35"/>
        <v/>
      </c>
      <c r="W414" s="1010"/>
    </row>
    <row r="415" spans="2:23" x14ac:dyDescent="0.2">
      <c r="B415" s="1029"/>
      <c r="C415" s="1030"/>
      <c r="D415" s="1029"/>
      <c r="E415" s="1032"/>
      <c r="F415" s="1032"/>
      <c r="G415" s="1020"/>
      <c r="H415" s="1659"/>
      <c r="I415" s="1659"/>
      <c r="J415" s="1077" t="str">
        <f t="shared" si="31"/>
        <v/>
      </c>
      <c r="K415" s="1659"/>
      <c r="L415" s="1659"/>
      <c r="M415" s="1078" t="str">
        <f t="shared" si="32"/>
        <v/>
      </c>
      <c r="N415" s="1659"/>
      <c r="O415" s="1659"/>
      <c r="P415" s="1078" t="str">
        <f t="shared" si="33"/>
        <v/>
      </c>
      <c r="Q415" s="1659"/>
      <c r="R415" s="1659"/>
      <c r="S415" s="1078" t="str">
        <f t="shared" si="34"/>
        <v/>
      </c>
      <c r="T415" s="1661"/>
      <c r="U415" s="1659"/>
      <c r="V415" s="1078" t="str">
        <f t="shared" si="35"/>
        <v/>
      </c>
      <c r="W415" s="1010"/>
    </row>
    <row r="416" spans="2:23" x14ac:dyDescent="0.2">
      <c r="B416" s="1029"/>
      <c r="C416" s="1030"/>
      <c r="D416" s="1029"/>
      <c r="E416" s="1032"/>
      <c r="F416" s="1032"/>
      <c r="G416" s="1020"/>
      <c r="H416" s="1659"/>
      <c r="I416" s="1659"/>
      <c r="J416" s="1077" t="str">
        <f t="shared" si="31"/>
        <v/>
      </c>
      <c r="K416" s="1659"/>
      <c r="L416" s="1659"/>
      <c r="M416" s="1078" t="str">
        <f t="shared" si="32"/>
        <v/>
      </c>
      <c r="N416" s="1659"/>
      <c r="O416" s="1659"/>
      <c r="P416" s="1078" t="str">
        <f t="shared" si="33"/>
        <v/>
      </c>
      <c r="Q416" s="1659"/>
      <c r="R416" s="1659"/>
      <c r="S416" s="1078" t="str">
        <f t="shared" si="34"/>
        <v/>
      </c>
      <c r="T416" s="1661"/>
      <c r="U416" s="1659"/>
      <c r="V416" s="1078" t="str">
        <f t="shared" si="35"/>
        <v/>
      </c>
      <c r="W416" s="1010"/>
    </row>
    <row r="417" spans="2:23" x14ac:dyDescent="0.2">
      <c r="B417" s="1029"/>
      <c r="C417" s="1030"/>
      <c r="D417" s="1029"/>
      <c r="E417" s="1032"/>
      <c r="F417" s="1032"/>
      <c r="G417" s="1020"/>
      <c r="H417" s="1659"/>
      <c r="I417" s="1659"/>
      <c r="J417" s="1077" t="str">
        <f t="shared" si="31"/>
        <v/>
      </c>
      <c r="K417" s="1659"/>
      <c r="L417" s="1659"/>
      <c r="M417" s="1078" t="str">
        <f t="shared" si="32"/>
        <v/>
      </c>
      <c r="N417" s="1659"/>
      <c r="O417" s="1659"/>
      <c r="P417" s="1078" t="str">
        <f t="shared" si="33"/>
        <v/>
      </c>
      <c r="Q417" s="1659"/>
      <c r="R417" s="1659"/>
      <c r="S417" s="1078" t="str">
        <f t="shared" si="34"/>
        <v/>
      </c>
      <c r="T417" s="1661"/>
      <c r="U417" s="1659"/>
      <c r="V417" s="1078" t="str">
        <f t="shared" si="35"/>
        <v/>
      </c>
      <c r="W417" s="1010"/>
    </row>
    <row r="418" spans="2:23" x14ac:dyDescent="0.2">
      <c r="B418" s="1029"/>
      <c r="C418" s="1030"/>
      <c r="D418" s="1029"/>
      <c r="E418" s="1032"/>
      <c r="F418" s="1032"/>
      <c r="G418" s="1020"/>
      <c r="H418" s="1659"/>
      <c r="I418" s="1659"/>
      <c r="J418" s="1077" t="str">
        <f t="shared" si="31"/>
        <v/>
      </c>
      <c r="K418" s="1659"/>
      <c r="L418" s="1659"/>
      <c r="M418" s="1078" t="str">
        <f t="shared" si="32"/>
        <v/>
      </c>
      <c r="N418" s="1659"/>
      <c r="O418" s="1659"/>
      <c r="P418" s="1078" t="str">
        <f t="shared" si="33"/>
        <v/>
      </c>
      <c r="Q418" s="1659"/>
      <c r="R418" s="1659"/>
      <c r="S418" s="1078" t="str">
        <f t="shared" si="34"/>
        <v/>
      </c>
      <c r="T418" s="1661"/>
      <c r="U418" s="1659"/>
      <c r="V418" s="1078" t="str">
        <f t="shared" si="35"/>
        <v/>
      </c>
      <c r="W418" s="1010"/>
    </row>
    <row r="419" spans="2:23" x14ac:dyDescent="0.2">
      <c r="B419" s="1029"/>
      <c r="C419" s="1030"/>
      <c r="D419" s="1029"/>
      <c r="E419" s="1032"/>
      <c r="F419" s="1032"/>
      <c r="G419" s="1020"/>
      <c r="H419" s="1659"/>
      <c r="I419" s="1659"/>
      <c r="J419" s="1077" t="str">
        <f t="shared" si="31"/>
        <v/>
      </c>
      <c r="K419" s="1659"/>
      <c r="L419" s="1659"/>
      <c r="M419" s="1078" t="str">
        <f t="shared" si="32"/>
        <v/>
      </c>
      <c r="N419" s="1659"/>
      <c r="O419" s="1659"/>
      <c r="P419" s="1078" t="str">
        <f t="shared" si="33"/>
        <v/>
      </c>
      <c r="Q419" s="1659"/>
      <c r="R419" s="1659"/>
      <c r="S419" s="1078" t="str">
        <f t="shared" si="34"/>
        <v/>
      </c>
      <c r="T419" s="1661"/>
      <c r="U419" s="1659"/>
      <c r="V419" s="1078" t="str">
        <f t="shared" si="35"/>
        <v/>
      </c>
      <c r="W419" s="1010"/>
    </row>
    <row r="420" spans="2:23" x14ac:dyDescent="0.2">
      <c r="B420" s="1029"/>
      <c r="C420" s="1030"/>
      <c r="D420" s="1029"/>
      <c r="E420" s="1032"/>
      <c r="F420" s="1032"/>
      <c r="G420" s="1020"/>
      <c r="H420" s="1659"/>
      <c r="I420" s="1659"/>
      <c r="J420" s="1077" t="str">
        <f t="shared" si="31"/>
        <v/>
      </c>
      <c r="K420" s="1659"/>
      <c r="L420" s="1659"/>
      <c r="M420" s="1078" t="str">
        <f t="shared" si="32"/>
        <v/>
      </c>
      <c r="N420" s="1659"/>
      <c r="O420" s="1659"/>
      <c r="P420" s="1078" t="str">
        <f t="shared" si="33"/>
        <v/>
      </c>
      <c r="Q420" s="1659"/>
      <c r="R420" s="1659"/>
      <c r="S420" s="1078" t="str">
        <f t="shared" si="34"/>
        <v/>
      </c>
      <c r="T420" s="1661"/>
      <c r="U420" s="1659"/>
      <c r="V420" s="1078" t="str">
        <f t="shared" si="35"/>
        <v/>
      </c>
      <c r="W420" s="1010"/>
    </row>
    <row r="421" spans="2:23" x14ac:dyDescent="0.2">
      <c r="B421" s="1029"/>
      <c r="C421" s="1030"/>
      <c r="D421" s="1029"/>
      <c r="E421" s="1032"/>
      <c r="F421" s="1032"/>
      <c r="G421" s="1020"/>
      <c r="H421" s="1659"/>
      <c r="I421" s="1659"/>
      <c r="J421" s="1077" t="str">
        <f t="shared" si="31"/>
        <v/>
      </c>
      <c r="K421" s="1659"/>
      <c r="L421" s="1659"/>
      <c r="M421" s="1078" t="str">
        <f t="shared" si="32"/>
        <v/>
      </c>
      <c r="N421" s="1659"/>
      <c r="O421" s="1659"/>
      <c r="P421" s="1078" t="str">
        <f t="shared" si="33"/>
        <v/>
      </c>
      <c r="Q421" s="1659"/>
      <c r="R421" s="1659"/>
      <c r="S421" s="1078" t="str">
        <f t="shared" si="34"/>
        <v/>
      </c>
      <c r="T421" s="1661"/>
      <c r="U421" s="1659"/>
      <c r="V421" s="1078" t="str">
        <f t="shared" si="35"/>
        <v/>
      </c>
      <c r="W421" s="1010"/>
    </row>
    <row r="422" spans="2:23" x14ac:dyDescent="0.2">
      <c r="B422" s="1029"/>
      <c r="C422" s="1030"/>
      <c r="D422" s="1029"/>
      <c r="E422" s="1032"/>
      <c r="F422" s="1032"/>
      <c r="G422" s="1020"/>
      <c r="H422" s="1659"/>
      <c r="I422" s="1659"/>
      <c r="J422" s="1077" t="str">
        <f t="shared" si="31"/>
        <v/>
      </c>
      <c r="K422" s="1659"/>
      <c r="L422" s="1659"/>
      <c r="M422" s="1078" t="str">
        <f t="shared" si="32"/>
        <v/>
      </c>
      <c r="N422" s="1659"/>
      <c r="O422" s="1659"/>
      <c r="P422" s="1078" t="str">
        <f t="shared" si="33"/>
        <v/>
      </c>
      <c r="Q422" s="1659"/>
      <c r="R422" s="1659"/>
      <c r="S422" s="1078" t="str">
        <f t="shared" si="34"/>
        <v/>
      </c>
      <c r="T422" s="1661"/>
      <c r="U422" s="1659"/>
      <c r="V422" s="1078" t="str">
        <f t="shared" si="35"/>
        <v/>
      </c>
      <c r="W422" s="1010"/>
    </row>
    <row r="423" spans="2:23" x14ac:dyDescent="0.2">
      <c r="B423" s="1029"/>
      <c r="C423" s="1030"/>
      <c r="D423" s="1029"/>
      <c r="E423" s="1032"/>
      <c r="F423" s="1032"/>
      <c r="G423" s="1020"/>
      <c r="H423" s="1659"/>
      <c r="I423" s="1659"/>
      <c r="J423" s="1077" t="str">
        <f t="shared" si="31"/>
        <v/>
      </c>
      <c r="K423" s="1659"/>
      <c r="L423" s="1659"/>
      <c r="M423" s="1078" t="str">
        <f t="shared" si="32"/>
        <v/>
      </c>
      <c r="N423" s="1659"/>
      <c r="O423" s="1659"/>
      <c r="P423" s="1078" t="str">
        <f t="shared" si="33"/>
        <v/>
      </c>
      <c r="Q423" s="1659"/>
      <c r="R423" s="1659"/>
      <c r="S423" s="1078" t="str">
        <f t="shared" si="34"/>
        <v/>
      </c>
      <c r="T423" s="1661"/>
      <c r="U423" s="1659"/>
      <c r="V423" s="1078" t="str">
        <f t="shared" si="35"/>
        <v/>
      </c>
      <c r="W423" s="1010"/>
    </row>
    <row r="424" spans="2:23" x14ac:dyDescent="0.2">
      <c r="B424" s="1029"/>
      <c r="C424" s="1030"/>
      <c r="D424" s="1029"/>
      <c r="E424" s="1032"/>
      <c r="F424" s="1032"/>
      <c r="G424" s="1020"/>
      <c r="H424" s="1659"/>
      <c r="I424" s="1659"/>
      <c r="J424" s="1077" t="str">
        <f t="shared" si="31"/>
        <v/>
      </c>
      <c r="K424" s="1659"/>
      <c r="L424" s="1659"/>
      <c r="M424" s="1078" t="str">
        <f t="shared" si="32"/>
        <v/>
      </c>
      <c r="N424" s="1659"/>
      <c r="O424" s="1659"/>
      <c r="P424" s="1078" t="str">
        <f t="shared" si="33"/>
        <v/>
      </c>
      <c r="Q424" s="1659"/>
      <c r="R424" s="1659"/>
      <c r="S424" s="1078" t="str">
        <f t="shared" si="34"/>
        <v/>
      </c>
      <c r="T424" s="1661"/>
      <c r="U424" s="1659"/>
      <c r="V424" s="1078" t="str">
        <f t="shared" si="35"/>
        <v/>
      </c>
      <c r="W424" s="1010"/>
    </row>
    <row r="425" spans="2:23" x14ac:dyDescent="0.2">
      <c r="B425" s="1029"/>
      <c r="C425" s="1030"/>
      <c r="D425" s="1029"/>
      <c r="E425" s="1032"/>
      <c r="F425" s="1032"/>
      <c r="G425" s="1020"/>
      <c r="H425" s="1659"/>
      <c r="I425" s="1659"/>
      <c r="J425" s="1077" t="str">
        <f t="shared" si="31"/>
        <v/>
      </c>
      <c r="K425" s="1659"/>
      <c r="L425" s="1659"/>
      <c r="M425" s="1078" t="str">
        <f t="shared" si="32"/>
        <v/>
      </c>
      <c r="N425" s="1659"/>
      <c r="O425" s="1659"/>
      <c r="P425" s="1078" t="str">
        <f t="shared" si="33"/>
        <v/>
      </c>
      <c r="Q425" s="1659"/>
      <c r="R425" s="1659"/>
      <c r="S425" s="1078" t="str">
        <f t="shared" si="34"/>
        <v/>
      </c>
      <c r="T425" s="1661"/>
      <c r="U425" s="1659"/>
      <c r="V425" s="1078" t="str">
        <f t="shared" si="35"/>
        <v/>
      </c>
      <c r="W425" s="1010"/>
    </row>
    <row r="426" spans="2:23" x14ac:dyDescent="0.2">
      <c r="B426" s="1029"/>
      <c r="C426" s="1030"/>
      <c r="D426" s="1029"/>
      <c r="E426" s="1032"/>
      <c r="F426" s="1032"/>
      <c r="G426" s="1020"/>
      <c r="H426" s="1659"/>
      <c r="I426" s="1659"/>
      <c r="J426" s="1077" t="str">
        <f t="shared" si="31"/>
        <v/>
      </c>
      <c r="K426" s="1659"/>
      <c r="L426" s="1659"/>
      <c r="M426" s="1078" t="str">
        <f t="shared" si="32"/>
        <v/>
      </c>
      <c r="N426" s="1659"/>
      <c r="O426" s="1659"/>
      <c r="P426" s="1078" t="str">
        <f t="shared" si="33"/>
        <v/>
      </c>
      <c r="Q426" s="1659"/>
      <c r="R426" s="1659"/>
      <c r="S426" s="1078" t="str">
        <f t="shared" si="34"/>
        <v/>
      </c>
      <c r="T426" s="1661"/>
      <c r="U426" s="1659"/>
      <c r="V426" s="1078" t="str">
        <f t="shared" si="35"/>
        <v/>
      </c>
      <c r="W426" s="1010"/>
    </row>
    <row r="427" spans="2:23" x14ac:dyDescent="0.2">
      <c r="B427" s="1029"/>
      <c r="C427" s="1030"/>
      <c r="D427" s="1029"/>
      <c r="E427" s="1032"/>
      <c r="F427" s="1032"/>
      <c r="G427" s="1020"/>
      <c r="H427" s="1659"/>
      <c r="I427" s="1659"/>
      <c r="J427" s="1077" t="str">
        <f t="shared" si="31"/>
        <v/>
      </c>
      <c r="K427" s="1659"/>
      <c r="L427" s="1659"/>
      <c r="M427" s="1078" t="str">
        <f t="shared" si="32"/>
        <v/>
      </c>
      <c r="N427" s="1659"/>
      <c r="O427" s="1659"/>
      <c r="P427" s="1078" t="str">
        <f t="shared" si="33"/>
        <v/>
      </c>
      <c r="Q427" s="1659"/>
      <c r="R427" s="1659"/>
      <c r="S427" s="1078" t="str">
        <f t="shared" si="34"/>
        <v/>
      </c>
      <c r="T427" s="1661"/>
      <c r="U427" s="1659"/>
      <c r="V427" s="1078" t="str">
        <f t="shared" si="35"/>
        <v/>
      </c>
      <c r="W427" s="1010"/>
    </row>
    <row r="428" spans="2:23" x14ac:dyDescent="0.2">
      <c r="B428" s="1029"/>
      <c r="C428" s="1030"/>
      <c r="D428" s="1029"/>
      <c r="E428" s="1032"/>
      <c r="F428" s="1032"/>
      <c r="G428" s="1020"/>
      <c r="H428" s="1659"/>
      <c r="I428" s="1659"/>
      <c r="J428" s="1077" t="str">
        <f t="shared" si="31"/>
        <v/>
      </c>
      <c r="K428" s="1659"/>
      <c r="L428" s="1659"/>
      <c r="M428" s="1078" t="str">
        <f t="shared" si="32"/>
        <v/>
      </c>
      <c r="N428" s="1659"/>
      <c r="O428" s="1659"/>
      <c r="P428" s="1078" t="str">
        <f t="shared" si="33"/>
        <v/>
      </c>
      <c r="Q428" s="1659"/>
      <c r="R428" s="1659"/>
      <c r="S428" s="1078" t="str">
        <f t="shared" si="34"/>
        <v/>
      </c>
      <c r="T428" s="1661"/>
      <c r="U428" s="1659"/>
      <c r="V428" s="1078" t="str">
        <f t="shared" si="35"/>
        <v/>
      </c>
      <c r="W428" s="1010"/>
    </row>
    <row r="429" spans="2:23" x14ac:dyDescent="0.2">
      <c r="B429" s="1029"/>
      <c r="C429" s="1030"/>
      <c r="D429" s="1029"/>
      <c r="E429" s="1032"/>
      <c r="F429" s="1032"/>
      <c r="G429" s="1020"/>
      <c r="H429" s="1659"/>
      <c r="I429" s="1659"/>
      <c r="J429" s="1077" t="str">
        <f t="shared" si="31"/>
        <v/>
      </c>
      <c r="K429" s="1659"/>
      <c r="L429" s="1659"/>
      <c r="M429" s="1078" t="str">
        <f t="shared" si="32"/>
        <v/>
      </c>
      <c r="N429" s="1659"/>
      <c r="O429" s="1659"/>
      <c r="P429" s="1078" t="str">
        <f t="shared" si="33"/>
        <v/>
      </c>
      <c r="Q429" s="1659"/>
      <c r="R429" s="1659"/>
      <c r="S429" s="1078" t="str">
        <f t="shared" si="34"/>
        <v/>
      </c>
      <c r="T429" s="1661"/>
      <c r="U429" s="1659"/>
      <c r="V429" s="1078" t="str">
        <f t="shared" si="35"/>
        <v/>
      </c>
      <c r="W429" s="1010"/>
    </row>
    <row r="430" spans="2:23" x14ac:dyDescent="0.2">
      <c r="B430" s="1029"/>
      <c r="C430" s="1030"/>
      <c r="D430" s="1029"/>
      <c r="E430" s="1032"/>
      <c r="F430" s="1032"/>
      <c r="G430" s="1020"/>
      <c r="H430" s="1659"/>
      <c r="I430" s="1659"/>
      <c r="J430" s="1077" t="str">
        <f t="shared" si="31"/>
        <v/>
      </c>
      <c r="K430" s="1659"/>
      <c r="L430" s="1659"/>
      <c r="M430" s="1078" t="str">
        <f t="shared" si="32"/>
        <v/>
      </c>
      <c r="N430" s="1659"/>
      <c r="O430" s="1659"/>
      <c r="P430" s="1078" t="str">
        <f t="shared" si="33"/>
        <v/>
      </c>
      <c r="Q430" s="1659"/>
      <c r="R430" s="1659"/>
      <c r="S430" s="1078" t="str">
        <f t="shared" si="34"/>
        <v/>
      </c>
      <c r="T430" s="1661"/>
      <c r="U430" s="1659"/>
      <c r="V430" s="1078" t="str">
        <f t="shared" si="35"/>
        <v/>
      </c>
      <c r="W430" s="1010"/>
    </row>
    <row r="431" spans="2:23" x14ac:dyDescent="0.2">
      <c r="B431" s="1029"/>
      <c r="C431" s="1030"/>
      <c r="D431" s="1029"/>
      <c r="E431" s="1032"/>
      <c r="F431" s="1032"/>
      <c r="G431" s="1020"/>
      <c r="H431" s="1659"/>
      <c r="I431" s="1659"/>
      <c r="J431" s="1077" t="str">
        <f t="shared" si="31"/>
        <v/>
      </c>
      <c r="K431" s="1659"/>
      <c r="L431" s="1659"/>
      <c r="M431" s="1078" t="str">
        <f t="shared" si="32"/>
        <v/>
      </c>
      <c r="N431" s="1659"/>
      <c r="O431" s="1659"/>
      <c r="P431" s="1078" t="str">
        <f t="shared" si="33"/>
        <v/>
      </c>
      <c r="Q431" s="1659"/>
      <c r="R431" s="1659"/>
      <c r="S431" s="1078" t="str">
        <f t="shared" si="34"/>
        <v/>
      </c>
      <c r="T431" s="1661"/>
      <c r="U431" s="1659"/>
      <c r="V431" s="1078" t="str">
        <f t="shared" si="35"/>
        <v/>
      </c>
      <c r="W431" s="1010"/>
    </row>
    <row r="432" spans="2:23" x14ac:dyDescent="0.2">
      <c r="B432" s="1029"/>
      <c r="C432" s="1030"/>
      <c r="D432" s="1029"/>
      <c r="E432" s="1032"/>
      <c r="F432" s="1032"/>
      <c r="G432" s="1020"/>
      <c r="H432" s="1659"/>
      <c r="I432" s="1659"/>
      <c r="J432" s="1077" t="str">
        <f t="shared" si="31"/>
        <v/>
      </c>
      <c r="K432" s="1659"/>
      <c r="L432" s="1659"/>
      <c r="M432" s="1078" t="str">
        <f t="shared" si="32"/>
        <v/>
      </c>
      <c r="N432" s="1659"/>
      <c r="O432" s="1659"/>
      <c r="P432" s="1078" t="str">
        <f t="shared" si="33"/>
        <v/>
      </c>
      <c r="Q432" s="1659"/>
      <c r="R432" s="1659"/>
      <c r="S432" s="1078" t="str">
        <f t="shared" si="34"/>
        <v/>
      </c>
      <c r="T432" s="1661"/>
      <c r="U432" s="1659"/>
      <c r="V432" s="1078" t="str">
        <f t="shared" si="35"/>
        <v/>
      </c>
      <c r="W432" s="1010"/>
    </row>
    <row r="433" spans="2:23" x14ac:dyDescent="0.2">
      <c r="B433" s="1029"/>
      <c r="C433" s="1030"/>
      <c r="D433" s="1029"/>
      <c r="E433" s="1032"/>
      <c r="F433" s="1032"/>
      <c r="G433" s="1020"/>
      <c r="H433" s="1659"/>
      <c r="I433" s="1659"/>
      <c r="J433" s="1077" t="str">
        <f t="shared" si="31"/>
        <v/>
      </c>
      <c r="K433" s="1659"/>
      <c r="L433" s="1659"/>
      <c r="M433" s="1078" t="str">
        <f t="shared" si="32"/>
        <v/>
      </c>
      <c r="N433" s="1659"/>
      <c r="O433" s="1659"/>
      <c r="P433" s="1078" t="str">
        <f t="shared" si="33"/>
        <v/>
      </c>
      <c r="Q433" s="1659"/>
      <c r="R433" s="1659"/>
      <c r="S433" s="1078" t="str">
        <f t="shared" si="34"/>
        <v/>
      </c>
      <c r="T433" s="1661"/>
      <c r="U433" s="1659"/>
      <c r="V433" s="1078" t="str">
        <f t="shared" si="35"/>
        <v/>
      </c>
      <c r="W433" s="1010"/>
    </row>
    <row r="434" spans="2:23" x14ac:dyDescent="0.2">
      <c r="B434" s="1029"/>
      <c r="C434" s="1030"/>
      <c r="D434" s="1029"/>
      <c r="E434" s="1032"/>
      <c r="F434" s="1032"/>
      <c r="G434" s="1020"/>
      <c r="H434" s="1659"/>
      <c r="I434" s="1659"/>
      <c r="J434" s="1077" t="str">
        <f t="shared" si="31"/>
        <v/>
      </c>
      <c r="K434" s="1659"/>
      <c r="L434" s="1659"/>
      <c r="M434" s="1078" t="str">
        <f t="shared" si="32"/>
        <v/>
      </c>
      <c r="N434" s="1659"/>
      <c r="O434" s="1659"/>
      <c r="P434" s="1078" t="str">
        <f t="shared" si="33"/>
        <v/>
      </c>
      <c r="Q434" s="1659"/>
      <c r="R434" s="1659"/>
      <c r="S434" s="1078" t="str">
        <f t="shared" si="34"/>
        <v/>
      </c>
      <c r="T434" s="1661"/>
      <c r="U434" s="1659"/>
      <c r="V434" s="1078" t="str">
        <f t="shared" si="35"/>
        <v/>
      </c>
      <c r="W434" s="1010"/>
    </row>
    <row r="435" spans="2:23" x14ac:dyDescent="0.2">
      <c r="B435" s="1029"/>
      <c r="C435" s="1030"/>
      <c r="D435" s="1029"/>
      <c r="E435" s="1032"/>
      <c r="F435" s="1032"/>
      <c r="G435" s="1020"/>
      <c r="H435" s="1659"/>
      <c r="I435" s="1659"/>
      <c r="J435" s="1077" t="str">
        <f t="shared" si="31"/>
        <v/>
      </c>
      <c r="K435" s="1659"/>
      <c r="L435" s="1659"/>
      <c r="M435" s="1078" t="str">
        <f t="shared" si="32"/>
        <v/>
      </c>
      <c r="N435" s="1659"/>
      <c r="O435" s="1659"/>
      <c r="P435" s="1078" t="str">
        <f t="shared" si="33"/>
        <v/>
      </c>
      <c r="Q435" s="1659"/>
      <c r="R435" s="1659"/>
      <c r="S435" s="1078" t="str">
        <f t="shared" si="34"/>
        <v/>
      </c>
      <c r="T435" s="1661"/>
      <c r="U435" s="1659"/>
      <c r="V435" s="1078" t="str">
        <f t="shared" si="35"/>
        <v/>
      </c>
      <c r="W435" s="1010"/>
    </row>
    <row r="436" spans="2:23" x14ac:dyDescent="0.2">
      <c r="B436" s="1029"/>
      <c r="C436" s="1030"/>
      <c r="D436" s="1029"/>
      <c r="E436" s="1032"/>
      <c r="F436" s="1032"/>
      <c r="G436" s="1020"/>
      <c r="H436" s="1659"/>
      <c r="I436" s="1659"/>
      <c r="J436" s="1077" t="str">
        <f t="shared" si="31"/>
        <v/>
      </c>
      <c r="K436" s="1659"/>
      <c r="L436" s="1659"/>
      <c r="M436" s="1078" t="str">
        <f t="shared" si="32"/>
        <v/>
      </c>
      <c r="N436" s="1659"/>
      <c r="O436" s="1659"/>
      <c r="P436" s="1078" t="str">
        <f t="shared" si="33"/>
        <v/>
      </c>
      <c r="Q436" s="1659"/>
      <c r="R436" s="1659"/>
      <c r="S436" s="1078" t="str">
        <f t="shared" si="34"/>
        <v/>
      </c>
      <c r="T436" s="1661"/>
      <c r="U436" s="1659"/>
      <c r="V436" s="1078" t="str">
        <f t="shared" si="35"/>
        <v/>
      </c>
      <c r="W436" s="1010"/>
    </row>
    <row r="437" spans="2:23" x14ac:dyDescent="0.2">
      <c r="B437" s="1029"/>
      <c r="C437" s="1030"/>
      <c r="D437" s="1029"/>
      <c r="E437" s="1032"/>
      <c r="F437" s="1032"/>
      <c r="G437" s="1020"/>
      <c r="H437" s="1659"/>
      <c r="I437" s="1659"/>
      <c r="J437" s="1077" t="str">
        <f t="shared" si="31"/>
        <v/>
      </c>
      <c r="K437" s="1659"/>
      <c r="L437" s="1659"/>
      <c r="M437" s="1078" t="str">
        <f t="shared" si="32"/>
        <v/>
      </c>
      <c r="N437" s="1659"/>
      <c r="O437" s="1659"/>
      <c r="P437" s="1078" t="str">
        <f t="shared" si="33"/>
        <v/>
      </c>
      <c r="Q437" s="1659"/>
      <c r="R437" s="1659"/>
      <c r="S437" s="1078" t="str">
        <f t="shared" si="34"/>
        <v/>
      </c>
      <c r="T437" s="1661"/>
      <c r="U437" s="1659"/>
      <c r="V437" s="1078" t="str">
        <f t="shared" si="35"/>
        <v/>
      </c>
      <c r="W437" s="1010"/>
    </row>
    <row r="438" spans="2:23" x14ac:dyDescent="0.2">
      <c r="B438" s="1029"/>
      <c r="C438" s="1030"/>
      <c r="D438" s="1029"/>
      <c r="E438" s="1032"/>
      <c r="F438" s="1032"/>
      <c r="G438" s="1020"/>
      <c r="H438" s="1659"/>
      <c r="I438" s="1659"/>
      <c r="J438" s="1077" t="str">
        <f t="shared" si="31"/>
        <v/>
      </c>
      <c r="K438" s="1659"/>
      <c r="L438" s="1659"/>
      <c r="M438" s="1078" t="str">
        <f t="shared" si="32"/>
        <v/>
      </c>
      <c r="N438" s="1659"/>
      <c r="O438" s="1659"/>
      <c r="P438" s="1078" t="str">
        <f t="shared" si="33"/>
        <v/>
      </c>
      <c r="Q438" s="1659"/>
      <c r="R438" s="1659"/>
      <c r="S438" s="1078" t="str">
        <f t="shared" si="34"/>
        <v/>
      </c>
      <c r="T438" s="1661"/>
      <c r="U438" s="1659"/>
      <c r="V438" s="1078" t="str">
        <f t="shared" si="35"/>
        <v/>
      </c>
      <c r="W438" s="1010"/>
    </row>
    <row r="439" spans="2:23" x14ac:dyDescent="0.2">
      <c r="B439" s="1029"/>
      <c r="C439" s="1030"/>
      <c r="D439" s="1029"/>
      <c r="E439" s="1032"/>
      <c r="F439" s="1032"/>
      <c r="G439" s="1020"/>
      <c r="H439" s="1659"/>
      <c r="I439" s="1659"/>
      <c r="J439" s="1077" t="str">
        <f t="shared" si="31"/>
        <v/>
      </c>
      <c r="K439" s="1659"/>
      <c r="L439" s="1659"/>
      <c r="M439" s="1078" t="str">
        <f t="shared" si="32"/>
        <v/>
      </c>
      <c r="N439" s="1659"/>
      <c r="O439" s="1659"/>
      <c r="P439" s="1078" t="str">
        <f t="shared" si="33"/>
        <v/>
      </c>
      <c r="Q439" s="1659"/>
      <c r="R439" s="1659"/>
      <c r="S439" s="1078" t="str">
        <f t="shared" si="34"/>
        <v/>
      </c>
      <c r="T439" s="1661"/>
      <c r="U439" s="1659"/>
      <c r="V439" s="1078" t="str">
        <f t="shared" si="35"/>
        <v/>
      </c>
      <c r="W439" s="1010"/>
    </row>
    <row r="440" spans="2:23" x14ac:dyDescent="0.2">
      <c r="B440" s="1029"/>
      <c r="C440" s="1030"/>
      <c r="D440" s="1029"/>
      <c r="E440" s="1032"/>
      <c r="F440" s="1032"/>
      <c r="G440" s="1020"/>
      <c r="H440" s="1659"/>
      <c r="I440" s="1659"/>
      <c r="J440" s="1077" t="str">
        <f t="shared" si="31"/>
        <v/>
      </c>
      <c r="K440" s="1659"/>
      <c r="L440" s="1659"/>
      <c r="M440" s="1078" t="str">
        <f t="shared" si="32"/>
        <v/>
      </c>
      <c r="N440" s="1659"/>
      <c r="O440" s="1659"/>
      <c r="P440" s="1078" t="str">
        <f t="shared" si="33"/>
        <v/>
      </c>
      <c r="Q440" s="1659"/>
      <c r="R440" s="1659"/>
      <c r="S440" s="1078" t="str">
        <f t="shared" si="34"/>
        <v/>
      </c>
      <c r="T440" s="1661"/>
      <c r="U440" s="1659"/>
      <c r="V440" s="1078" t="str">
        <f t="shared" si="35"/>
        <v/>
      </c>
      <c r="W440" s="1010"/>
    </row>
    <row r="441" spans="2:23" x14ac:dyDescent="0.2">
      <c r="B441" s="1029"/>
      <c r="C441" s="1030"/>
      <c r="D441" s="1029"/>
      <c r="E441" s="1032"/>
      <c r="F441" s="1032"/>
      <c r="G441" s="1020"/>
      <c r="H441" s="1659"/>
      <c r="I441" s="1659"/>
      <c r="J441" s="1077" t="str">
        <f t="shared" si="31"/>
        <v/>
      </c>
      <c r="K441" s="1659"/>
      <c r="L441" s="1659"/>
      <c r="M441" s="1078" t="str">
        <f t="shared" si="32"/>
        <v/>
      </c>
      <c r="N441" s="1659"/>
      <c r="O441" s="1659"/>
      <c r="P441" s="1078" t="str">
        <f t="shared" si="33"/>
        <v/>
      </c>
      <c r="Q441" s="1659"/>
      <c r="R441" s="1659"/>
      <c r="S441" s="1078" t="str">
        <f t="shared" si="34"/>
        <v/>
      </c>
      <c r="T441" s="1661"/>
      <c r="U441" s="1659"/>
      <c r="V441" s="1078" t="str">
        <f t="shared" si="35"/>
        <v/>
      </c>
      <c r="W441" s="1010"/>
    </row>
    <row r="442" spans="2:23" x14ac:dyDescent="0.2">
      <c r="B442" s="1029"/>
      <c r="C442" s="1030"/>
      <c r="D442" s="1029"/>
      <c r="E442" s="1032"/>
      <c r="F442" s="1032"/>
      <c r="G442" s="1020"/>
      <c r="H442" s="1659"/>
      <c r="I442" s="1659"/>
      <c r="J442" s="1077" t="str">
        <f t="shared" si="31"/>
        <v/>
      </c>
      <c r="K442" s="1659"/>
      <c r="L442" s="1659"/>
      <c r="M442" s="1078" t="str">
        <f t="shared" si="32"/>
        <v/>
      </c>
      <c r="N442" s="1659"/>
      <c r="O442" s="1659"/>
      <c r="P442" s="1078" t="str">
        <f t="shared" si="33"/>
        <v/>
      </c>
      <c r="Q442" s="1659"/>
      <c r="R442" s="1659"/>
      <c r="S442" s="1078" t="str">
        <f t="shared" si="34"/>
        <v/>
      </c>
      <c r="T442" s="1661"/>
      <c r="U442" s="1659"/>
      <c r="V442" s="1078" t="str">
        <f t="shared" si="35"/>
        <v/>
      </c>
      <c r="W442" s="1010"/>
    </row>
    <row r="443" spans="2:23" x14ac:dyDescent="0.2">
      <c r="B443" s="1029"/>
      <c r="C443" s="1030"/>
      <c r="D443" s="1029"/>
      <c r="E443" s="1032"/>
      <c r="F443" s="1032"/>
      <c r="G443" s="1020"/>
      <c r="H443" s="1659"/>
      <c r="I443" s="1659"/>
      <c r="J443" s="1077" t="str">
        <f t="shared" si="31"/>
        <v/>
      </c>
      <c r="K443" s="1659"/>
      <c r="L443" s="1659"/>
      <c r="M443" s="1078" t="str">
        <f t="shared" si="32"/>
        <v/>
      </c>
      <c r="N443" s="1659"/>
      <c r="O443" s="1659"/>
      <c r="P443" s="1078" t="str">
        <f t="shared" si="33"/>
        <v/>
      </c>
      <c r="Q443" s="1659"/>
      <c r="R443" s="1659"/>
      <c r="S443" s="1078" t="str">
        <f t="shared" si="34"/>
        <v/>
      </c>
      <c r="T443" s="1661"/>
      <c r="U443" s="1659"/>
      <c r="V443" s="1078" t="str">
        <f t="shared" si="35"/>
        <v/>
      </c>
      <c r="W443" s="1010"/>
    </row>
    <row r="444" spans="2:23" x14ac:dyDescent="0.2">
      <c r="B444" s="1029"/>
      <c r="C444" s="1030"/>
      <c r="D444" s="1029"/>
      <c r="E444" s="1032"/>
      <c r="F444" s="1032"/>
      <c r="G444" s="1020"/>
      <c r="H444" s="1659"/>
      <c r="I444" s="1659"/>
      <c r="J444" s="1077" t="str">
        <f t="shared" si="31"/>
        <v/>
      </c>
      <c r="K444" s="1659"/>
      <c r="L444" s="1659"/>
      <c r="M444" s="1078" t="str">
        <f t="shared" si="32"/>
        <v/>
      </c>
      <c r="N444" s="1659"/>
      <c r="O444" s="1659"/>
      <c r="P444" s="1078" t="str">
        <f t="shared" si="33"/>
        <v/>
      </c>
      <c r="Q444" s="1659"/>
      <c r="R444" s="1659"/>
      <c r="S444" s="1078" t="str">
        <f t="shared" si="34"/>
        <v/>
      </c>
      <c r="T444" s="1661"/>
      <c r="U444" s="1659"/>
      <c r="V444" s="1078" t="str">
        <f t="shared" si="35"/>
        <v/>
      </c>
      <c r="W444" s="1010"/>
    </row>
    <row r="445" spans="2:23" x14ac:dyDescent="0.2">
      <c r="B445" s="1029"/>
      <c r="C445" s="1030"/>
      <c r="D445" s="1029"/>
      <c r="E445" s="1032"/>
      <c r="F445" s="1032"/>
      <c r="G445" s="1020"/>
      <c r="H445" s="1659"/>
      <c r="I445" s="1659"/>
      <c r="J445" s="1077" t="str">
        <f t="shared" si="31"/>
        <v/>
      </c>
      <c r="K445" s="1659"/>
      <c r="L445" s="1659"/>
      <c r="M445" s="1078" t="str">
        <f t="shared" si="32"/>
        <v/>
      </c>
      <c r="N445" s="1659"/>
      <c r="O445" s="1659"/>
      <c r="P445" s="1078" t="str">
        <f t="shared" si="33"/>
        <v/>
      </c>
      <c r="Q445" s="1659"/>
      <c r="R445" s="1659"/>
      <c r="S445" s="1078" t="str">
        <f t="shared" si="34"/>
        <v/>
      </c>
      <c r="T445" s="1661"/>
      <c r="U445" s="1659"/>
      <c r="V445" s="1078" t="str">
        <f t="shared" si="35"/>
        <v/>
      </c>
      <c r="W445" s="1010"/>
    </row>
    <row r="446" spans="2:23" x14ac:dyDescent="0.2">
      <c r="B446" s="1029"/>
      <c r="C446" s="1030"/>
      <c r="D446" s="1029"/>
      <c r="E446" s="1032"/>
      <c r="F446" s="1032"/>
      <c r="G446" s="1020"/>
      <c r="H446" s="1659"/>
      <c r="I446" s="1659"/>
      <c r="J446" s="1077" t="str">
        <f t="shared" si="31"/>
        <v/>
      </c>
      <c r="K446" s="1659"/>
      <c r="L446" s="1659"/>
      <c r="M446" s="1078" t="str">
        <f t="shared" si="32"/>
        <v/>
      </c>
      <c r="N446" s="1659"/>
      <c r="O446" s="1659"/>
      <c r="P446" s="1078" t="str">
        <f t="shared" si="33"/>
        <v/>
      </c>
      <c r="Q446" s="1659"/>
      <c r="R446" s="1659"/>
      <c r="S446" s="1078" t="str">
        <f t="shared" si="34"/>
        <v/>
      </c>
      <c r="T446" s="1661"/>
      <c r="U446" s="1659"/>
      <c r="V446" s="1078" t="str">
        <f t="shared" si="35"/>
        <v/>
      </c>
      <c r="W446" s="1010"/>
    </row>
    <row r="447" spans="2:23" x14ac:dyDescent="0.2">
      <c r="B447" s="1029"/>
      <c r="C447" s="1030"/>
      <c r="D447" s="1029"/>
      <c r="E447" s="1032"/>
      <c r="F447" s="1032"/>
      <c r="G447" s="1020"/>
      <c r="H447" s="1659"/>
      <c r="I447" s="1659"/>
      <c r="J447" s="1077" t="str">
        <f t="shared" si="31"/>
        <v/>
      </c>
      <c r="K447" s="1659"/>
      <c r="L447" s="1659"/>
      <c r="M447" s="1078" t="str">
        <f t="shared" si="32"/>
        <v/>
      </c>
      <c r="N447" s="1659"/>
      <c r="O447" s="1659"/>
      <c r="P447" s="1078" t="str">
        <f t="shared" si="33"/>
        <v/>
      </c>
      <c r="Q447" s="1659"/>
      <c r="R447" s="1659"/>
      <c r="S447" s="1078" t="str">
        <f t="shared" si="34"/>
        <v/>
      </c>
      <c r="T447" s="1661"/>
      <c r="U447" s="1659"/>
      <c r="V447" s="1078" t="str">
        <f t="shared" si="35"/>
        <v/>
      </c>
      <c r="W447" s="1010"/>
    </row>
    <row r="448" spans="2:23" x14ac:dyDescent="0.2">
      <c r="B448" s="1029"/>
      <c r="C448" s="1030"/>
      <c r="D448" s="1029"/>
      <c r="E448" s="1032"/>
      <c r="F448" s="1032"/>
      <c r="G448" s="1020"/>
      <c r="H448" s="1659"/>
      <c r="I448" s="1659"/>
      <c r="J448" s="1077" t="str">
        <f t="shared" si="31"/>
        <v/>
      </c>
      <c r="K448" s="1659"/>
      <c r="L448" s="1659"/>
      <c r="M448" s="1078" t="str">
        <f t="shared" si="32"/>
        <v/>
      </c>
      <c r="N448" s="1659"/>
      <c r="O448" s="1659"/>
      <c r="P448" s="1078" t="str">
        <f t="shared" si="33"/>
        <v/>
      </c>
      <c r="Q448" s="1659"/>
      <c r="R448" s="1659"/>
      <c r="S448" s="1078" t="str">
        <f t="shared" si="34"/>
        <v/>
      </c>
      <c r="T448" s="1661"/>
      <c r="U448" s="1659"/>
      <c r="V448" s="1078" t="str">
        <f t="shared" si="35"/>
        <v/>
      </c>
      <c r="W448" s="1010"/>
    </row>
    <row r="449" spans="2:23" x14ac:dyDescent="0.2">
      <c r="B449" s="1029"/>
      <c r="C449" s="1030"/>
      <c r="D449" s="1029"/>
      <c r="E449" s="1032"/>
      <c r="F449" s="1032"/>
      <c r="G449" s="1020"/>
      <c r="H449" s="1659"/>
      <c r="I449" s="1659"/>
      <c r="J449" s="1077" t="str">
        <f t="shared" si="31"/>
        <v/>
      </c>
      <c r="K449" s="1659"/>
      <c r="L449" s="1659"/>
      <c r="M449" s="1078" t="str">
        <f t="shared" si="32"/>
        <v/>
      </c>
      <c r="N449" s="1659"/>
      <c r="O449" s="1659"/>
      <c r="P449" s="1078" t="str">
        <f t="shared" si="33"/>
        <v/>
      </c>
      <c r="Q449" s="1659"/>
      <c r="R449" s="1659"/>
      <c r="S449" s="1078" t="str">
        <f t="shared" si="34"/>
        <v/>
      </c>
      <c r="T449" s="1661"/>
      <c r="U449" s="1659"/>
      <c r="V449" s="1078" t="str">
        <f t="shared" si="35"/>
        <v/>
      </c>
      <c r="W449" s="1010"/>
    </row>
    <row r="450" spans="2:23" x14ac:dyDescent="0.2">
      <c r="B450" s="1056"/>
      <c r="C450" s="1057"/>
      <c r="D450" s="1056"/>
      <c r="E450" s="1032"/>
      <c r="F450" s="1032"/>
      <c r="G450" s="1020"/>
      <c r="H450" s="1659"/>
      <c r="I450" s="1659"/>
      <c r="J450" s="1077" t="str">
        <f t="shared" si="31"/>
        <v/>
      </c>
      <c r="K450" s="1659"/>
      <c r="L450" s="1659"/>
      <c r="M450" s="1078" t="str">
        <f t="shared" si="32"/>
        <v/>
      </c>
      <c r="N450" s="1659"/>
      <c r="O450" s="1659"/>
      <c r="P450" s="1078" t="str">
        <f t="shared" si="33"/>
        <v/>
      </c>
      <c r="Q450" s="1659"/>
      <c r="R450" s="1659"/>
      <c r="S450" s="1078" t="str">
        <f t="shared" si="34"/>
        <v/>
      </c>
      <c r="T450" s="1661"/>
      <c r="U450" s="1659"/>
      <c r="V450" s="1078" t="str">
        <f t="shared" si="35"/>
        <v/>
      </c>
      <c r="W450" s="1010"/>
    </row>
    <row r="451" spans="2:23" x14ac:dyDescent="0.2">
      <c r="B451" s="1058"/>
      <c r="C451" s="1058"/>
      <c r="D451" s="1058"/>
      <c r="J451" s="1059"/>
      <c r="K451" s="1060"/>
      <c r="M451" s="1062"/>
      <c r="N451" s="1060"/>
      <c r="P451" s="1062"/>
      <c r="S451" s="1062"/>
      <c r="T451" s="1060"/>
      <c r="V451" s="1063"/>
      <c r="W451" s="1010"/>
    </row>
    <row r="452" spans="2:23" x14ac:dyDescent="0.2">
      <c r="B452" s="1058"/>
      <c r="C452" s="1058"/>
      <c r="D452" s="1058"/>
    </row>
    <row r="453" spans="2:23" x14ac:dyDescent="0.2">
      <c r="B453" s="2473" t="s">
        <v>464</v>
      </c>
      <c r="C453" s="2474"/>
      <c r="D453" s="1065" t="s">
        <v>827</v>
      </c>
      <c r="E453" s="1065" t="s">
        <v>828</v>
      </c>
      <c r="F453" s="1066"/>
      <c r="G453" s="1066"/>
      <c r="H453" s="1066"/>
    </row>
    <row r="454" spans="2:23" ht="23.25" customHeight="1" x14ac:dyDescent="0.2">
      <c r="B454" s="2467"/>
      <c r="C454" s="2468"/>
      <c r="D454" s="1693"/>
      <c r="E454" s="1067"/>
      <c r="F454" s="1068"/>
      <c r="G454" s="1068"/>
      <c r="H454" s="1068"/>
    </row>
    <row r="455" spans="2:23" ht="23.25" customHeight="1" x14ac:dyDescent="0.2">
      <c r="B455" s="2467"/>
      <c r="C455" s="2468"/>
      <c r="D455" s="1693"/>
      <c r="E455" s="1067"/>
      <c r="F455" s="1068"/>
      <c r="G455" s="1068"/>
      <c r="H455" s="1068"/>
    </row>
    <row r="456" spans="2:23" ht="23.25" customHeight="1" x14ac:dyDescent="0.2">
      <c r="B456" s="2467"/>
      <c r="C456" s="2468"/>
      <c r="D456" s="1693"/>
      <c r="E456" s="1067"/>
      <c r="F456" s="1068"/>
      <c r="G456" s="1068"/>
      <c r="H456" s="1068"/>
    </row>
    <row r="457" spans="2:23" ht="23.25" customHeight="1" x14ac:dyDescent="0.2">
      <c r="B457" s="2467"/>
      <c r="C457" s="2468"/>
      <c r="D457" s="1693"/>
      <c r="E457" s="1067"/>
      <c r="F457" s="1068"/>
      <c r="G457" s="1068"/>
      <c r="H457" s="1068"/>
    </row>
    <row r="458" spans="2:23" ht="23.25" customHeight="1" x14ac:dyDescent="0.2">
      <c r="B458" s="2467"/>
      <c r="C458" s="2468"/>
      <c r="D458" s="1693"/>
      <c r="E458" s="1067"/>
      <c r="F458" s="1068"/>
      <c r="G458" s="1068"/>
      <c r="H458" s="1068"/>
    </row>
    <row r="459" spans="2:23" ht="23.25" customHeight="1" x14ac:dyDescent="0.2">
      <c r="B459" s="2467"/>
      <c r="C459" s="2468"/>
      <c r="D459" s="1693"/>
      <c r="E459" s="1067"/>
      <c r="F459" s="1068"/>
      <c r="G459" s="1068"/>
      <c r="H459" s="1068"/>
    </row>
    <row r="460" spans="2:23" ht="23.25" customHeight="1" x14ac:dyDescent="0.2">
      <c r="B460" s="2467"/>
      <c r="C460" s="2468"/>
      <c r="D460" s="1693"/>
      <c r="E460" s="1067"/>
      <c r="F460" s="1068"/>
      <c r="G460" s="1068"/>
      <c r="H460" s="1068"/>
    </row>
    <row r="461" spans="2:23" ht="23.25" customHeight="1" x14ac:dyDescent="0.2">
      <c r="B461" s="2467"/>
      <c r="C461" s="2468"/>
      <c r="D461" s="1693"/>
      <c r="E461" s="1067"/>
      <c r="F461" s="1068"/>
      <c r="G461" s="1068"/>
      <c r="H461" s="1068"/>
    </row>
    <row r="462" spans="2:23" ht="23.25" customHeight="1" x14ac:dyDescent="0.2">
      <c r="B462" s="2467"/>
      <c r="C462" s="2468"/>
      <c r="D462" s="1693"/>
      <c r="E462" s="1067"/>
      <c r="F462" s="1068"/>
      <c r="G462" s="1068"/>
      <c r="H462" s="1068"/>
    </row>
    <row r="463" spans="2:23" ht="23.25" customHeight="1" x14ac:dyDescent="0.2">
      <c r="B463" s="2467"/>
      <c r="C463" s="2468"/>
      <c r="D463" s="1693"/>
      <c r="E463" s="1067"/>
      <c r="F463" s="1068"/>
      <c r="G463" s="1068"/>
      <c r="H463" s="1068"/>
    </row>
    <row r="464" spans="2:23" ht="23.25" customHeight="1" x14ac:dyDescent="0.2">
      <c r="B464" s="2467"/>
      <c r="C464" s="2468"/>
      <c r="D464" s="1693"/>
      <c r="E464" s="1067"/>
      <c r="F464" s="1068"/>
      <c r="G464" s="1068"/>
      <c r="H464" s="1068"/>
    </row>
    <row r="465" spans="2:8" ht="23.25" customHeight="1" x14ac:dyDescent="0.2">
      <c r="B465" s="2467"/>
      <c r="C465" s="2468"/>
      <c r="D465" s="1693"/>
      <c r="E465" s="1067"/>
      <c r="F465" s="1068"/>
      <c r="G465" s="1068"/>
      <c r="H465" s="1068"/>
    </row>
    <row r="466" spans="2:8" ht="23.25" customHeight="1" x14ac:dyDescent="0.2">
      <c r="B466" s="2467"/>
      <c r="C466" s="2468"/>
      <c r="D466" s="1693"/>
      <c r="E466" s="1067"/>
      <c r="F466" s="1068"/>
      <c r="G466" s="1068"/>
      <c r="H466" s="1068"/>
    </row>
    <row r="467" spans="2:8" ht="23.25" customHeight="1" x14ac:dyDescent="0.2">
      <c r="B467" s="2467"/>
      <c r="C467" s="2468"/>
      <c r="D467" s="1693"/>
      <c r="E467" s="1067"/>
      <c r="F467" s="1068"/>
      <c r="G467" s="1068"/>
      <c r="H467" s="1068"/>
    </row>
    <row r="468" spans="2:8" ht="23.25" customHeight="1" x14ac:dyDescent="0.2">
      <c r="B468" s="2467"/>
      <c r="C468" s="2468"/>
      <c r="D468" s="1693"/>
      <c r="E468" s="1067"/>
      <c r="F468" s="1068"/>
      <c r="G468" s="1068"/>
      <c r="H468" s="1068"/>
    </row>
    <row r="469" spans="2:8" ht="23.25" customHeight="1" x14ac:dyDescent="0.2">
      <c r="B469" s="2467"/>
      <c r="C469" s="2468"/>
      <c r="D469" s="1693"/>
      <c r="E469" s="1067"/>
      <c r="F469" s="1068"/>
      <c r="G469" s="1068"/>
    </row>
    <row r="470" spans="2:8" ht="23.25" customHeight="1" x14ac:dyDescent="0.2">
      <c r="B470" s="2467"/>
      <c r="C470" s="2468"/>
      <c r="D470" s="1693"/>
      <c r="E470" s="1067"/>
      <c r="F470" s="1068"/>
      <c r="G470" s="1068"/>
    </row>
    <row r="471" spans="2:8" ht="23.25" customHeight="1" x14ac:dyDescent="0.2">
      <c r="B471" s="2467"/>
      <c r="C471" s="2468"/>
      <c r="D471" s="1693"/>
      <c r="E471" s="1067"/>
      <c r="F471" s="1068"/>
      <c r="G471" s="1068"/>
    </row>
    <row r="472" spans="2:8" x14ac:dyDescent="0.2">
      <c r="B472" s="2467"/>
      <c r="C472" s="2468"/>
      <c r="D472" s="1693"/>
      <c r="E472" s="1067"/>
      <c r="F472" s="1068"/>
      <c r="G472" s="1068"/>
    </row>
    <row r="473" spans="2:8" x14ac:dyDescent="0.2">
      <c r="B473" s="2467"/>
      <c r="C473" s="2468"/>
      <c r="D473" s="1693"/>
      <c r="E473" s="1067"/>
      <c r="F473" s="1068"/>
      <c r="G473" s="1068"/>
    </row>
    <row r="474" spans="2:8" x14ac:dyDescent="0.2">
      <c r="B474" s="2467"/>
      <c r="C474" s="2468"/>
      <c r="D474" s="1693"/>
      <c r="E474" s="1067"/>
      <c r="F474" s="1068"/>
      <c r="G474" s="1068"/>
    </row>
    <row r="475" spans="2:8" x14ac:dyDescent="0.2">
      <c r="B475" s="2467"/>
      <c r="C475" s="2468"/>
      <c r="D475" s="1693"/>
      <c r="E475" s="1067"/>
      <c r="F475" s="1068"/>
      <c r="G475" s="1068"/>
    </row>
    <row r="476" spans="2:8" x14ac:dyDescent="0.2">
      <c r="B476" s="2467"/>
      <c r="C476" s="2468"/>
      <c r="D476" s="1693"/>
      <c r="E476" s="1067"/>
      <c r="F476" s="1068"/>
      <c r="G476" s="1068"/>
    </row>
    <row r="477" spans="2:8" x14ac:dyDescent="0.2">
      <c r="B477" s="2467"/>
      <c r="C477" s="2468"/>
      <c r="D477" s="1693"/>
      <c r="E477" s="1067"/>
      <c r="F477" s="1068"/>
      <c r="G477" s="1068"/>
    </row>
    <row r="478" spans="2:8" x14ac:dyDescent="0.2">
      <c r="B478" s="2467"/>
      <c r="C478" s="2468"/>
      <c r="D478" s="1693"/>
      <c r="E478" s="1067"/>
      <c r="F478" s="1068"/>
      <c r="G478" s="1068"/>
    </row>
    <row r="479" spans="2:8" x14ac:dyDescent="0.2">
      <c r="B479" s="2467"/>
      <c r="C479" s="2468"/>
      <c r="D479" s="1693"/>
      <c r="E479" s="1067"/>
      <c r="F479" s="1068"/>
      <c r="G479" s="1068"/>
    </row>
    <row r="480" spans="2:8" x14ac:dyDescent="0.2">
      <c r="B480" s="2467"/>
      <c r="C480" s="2468"/>
      <c r="D480" s="1693"/>
      <c r="E480" s="1067"/>
      <c r="F480" s="1068"/>
      <c r="G480" s="1068"/>
    </row>
    <row r="481" spans="2:7" x14ac:dyDescent="0.2">
      <c r="B481" s="2467"/>
      <c r="C481" s="2468"/>
      <c r="D481" s="1693"/>
      <c r="E481" s="1067"/>
      <c r="F481" s="1068"/>
      <c r="G481" s="1068"/>
    </row>
    <row r="482" spans="2:7" x14ac:dyDescent="0.2">
      <c r="B482" s="2467"/>
      <c r="C482" s="2468"/>
      <c r="D482" s="1693"/>
      <c r="E482" s="1067"/>
      <c r="F482" s="1068"/>
      <c r="G482" s="1068"/>
    </row>
    <row r="483" spans="2:7" x14ac:dyDescent="0.2">
      <c r="B483" s="2467"/>
      <c r="C483" s="2468"/>
      <c r="D483" s="1693"/>
      <c r="E483" s="1067"/>
      <c r="F483" s="1068"/>
      <c r="G483" s="1068"/>
    </row>
    <row r="484" spans="2:7" x14ac:dyDescent="0.2">
      <c r="B484" s="2467"/>
      <c r="C484" s="2468"/>
      <c r="D484" s="1693"/>
      <c r="E484" s="1067"/>
      <c r="F484" s="1068"/>
      <c r="G484" s="1068"/>
    </row>
    <row r="485" spans="2:7" x14ac:dyDescent="0.2">
      <c r="B485" s="2467"/>
      <c r="C485" s="2468"/>
      <c r="D485" s="1693"/>
      <c r="E485" s="1067"/>
      <c r="F485" s="1068"/>
      <c r="G485" s="1068"/>
    </row>
    <row r="486" spans="2:7" x14ac:dyDescent="0.2">
      <c r="B486" s="2467"/>
      <c r="C486" s="2468"/>
      <c r="D486" s="1693"/>
      <c r="E486" s="1067"/>
      <c r="F486" s="1068"/>
      <c r="G486" s="1068"/>
    </row>
    <row r="487" spans="2:7" x14ac:dyDescent="0.2">
      <c r="B487" s="2467"/>
      <c r="C487" s="2468"/>
      <c r="D487" s="1693"/>
      <c r="E487" s="1067"/>
      <c r="F487" s="1068"/>
      <c r="G487" s="1068"/>
    </row>
    <row r="488" spans="2:7" x14ac:dyDescent="0.2">
      <c r="B488" s="2467"/>
      <c r="C488" s="2468"/>
      <c r="D488" s="1693"/>
      <c r="E488" s="1067"/>
      <c r="F488" s="1068"/>
      <c r="G488" s="1068"/>
    </row>
    <row r="489" spans="2:7" x14ac:dyDescent="0.2">
      <c r="B489" s="2467"/>
      <c r="C489" s="2468"/>
      <c r="D489" s="1693"/>
      <c r="E489" s="1067"/>
      <c r="F489" s="1068"/>
      <c r="G489" s="1068"/>
    </row>
    <row r="490" spans="2:7" x14ac:dyDescent="0.2">
      <c r="B490" s="2467"/>
      <c r="C490" s="2468"/>
      <c r="D490" s="1693"/>
      <c r="E490" s="1067"/>
      <c r="F490" s="1068"/>
      <c r="G490" s="1068"/>
    </row>
    <row r="491" spans="2:7" x14ac:dyDescent="0.2">
      <c r="B491" s="2467"/>
      <c r="C491" s="2468"/>
      <c r="D491" s="1693"/>
      <c r="E491" s="1067"/>
      <c r="F491" s="1068"/>
      <c r="G491" s="1068"/>
    </row>
    <row r="492" spans="2:7" x14ac:dyDescent="0.2">
      <c r="B492" s="2467"/>
      <c r="C492" s="2468"/>
      <c r="D492" s="1693"/>
      <c r="E492" s="1067"/>
      <c r="F492" s="1068"/>
      <c r="G492" s="1068"/>
    </row>
    <row r="493" spans="2:7" x14ac:dyDescent="0.2">
      <c r="B493" s="2467"/>
      <c r="C493" s="2468"/>
      <c r="D493" s="1693"/>
      <c r="E493" s="1067"/>
      <c r="F493" s="1068"/>
      <c r="G493" s="1068"/>
    </row>
    <row r="494" spans="2:7" x14ac:dyDescent="0.2">
      <c r="D494" s="1058"/>
    </row>
    <row r="495" spans="2:7" x14ac:dyDescent="0.2">
      <c r="D495" s="1058"/>
    </row>
    <row r="496" spans="2:7" x14ac:dyDescent="0.2">
      <c r="D496" s="1058"/>
    </row>
    <row r="497" spans="4:4" x14ac:dyDescent="0.2">
      <c r="D497" s="1058"/>
    </row>
    <row r="498" spans="4:4" x14ac:dyDescent="0.2">
      <c r="D498" s="1058"/>
    </row>
    <row r="499" spans="4:4" x14ac:dyDescent="0.2">
      <c r="D499" s="1058"/>
    </row>
    <row r="500" spans="4:4" x14ac:dyDescent="0.2">
      <c r="D500" s="1058"/>
    </row>
    <row r="501" spans="4:4" x14ac:dyDescent="0.2">
      <c r="D501" s="1058"/>
    </row>
    <row r="502" spans="4:4" x14ac:dyDescent="0.2">
      <c r="D502" s="1058"/>
    </row>
    <row r="503" spans="4:4" x14ac:dyDescent="0.2">
      <c r="D503" s="1058"/>
    </row>
    <row r="504" spans="4:4" x14ac:dyDescent="0.2">
      <c r="D504" s="1058"/>
    </row>
    <row r="505" spans="4:4" x14ac:dyDescent="0.2">
      <c r="D505" s="1058"/>
    </row>
    <row r="506" spans="4:4" x14ac:dyDescent="0.2">
      <c r="D506" s="1058"/>
    </row>
    <row r="507" spans="4:4" x14ac:dyDescent="0.2">
      <c r="D507" s="1058"/>
    </row>
    <row r="508" spans="4:4" x14ac:dyDescent="0.2">
      <c r="D508" s="1058"/>
    </row>
    <row r="509" spans="4:4" x14ac:dyDescent="0.2">
      <c r="D509" s="1058"/>
    </row>
    <row r="510" spans="4:4" x14ac:dyDescent="0.2">
      <c r="D510" s="1058"/>
    </row>
    <row r="511" spans="4:4" x14ac:dyDescent="0.2">
      <c r="D511" s="1058"/>
    </row>
    <row r="512" spans="4:4" x14ac:dyDescent="0.2">
      <c r="D512" s="1058"/>
    </row>
    <row r="513" spans="4:4" x14ac:dyDescent="0.2">
      <c r="D513" s="1058"/>
    </row>
    <row r="514" spans="4:4" x14ac:dyDescent="0.2">
      <c r="D514" s="1058"/>
    </row>
    <row r="515" spans="4:4" x14ac:dyDescent="0.2">
      <c r="D515" s="1058"/>
    </row>
    <row r="516" spans="4:4" x14ac:dyDescent="0.2">
      <c r="D516" s="1058"/>
    </row>
    <row r="517" spans="4:4" x14ac:dyDescent="0.2">
      <c r="D517" s="1058"/>
    </row>
    <row r="518" spans="4:4" x14ac:dyDescent="0.2">
      <c r="D518" s="1058"/>
    </row>
    <row r="519" spans="4:4" x14ac:dyDescent="0.2">
      <c r="D519" s="1058"/>
    </row>
    <row r="520" spans="4:4" x14ac:dyDescent="0.2">
      <c r="D520" s="1058"/>
    </row>
    <row r="521" spans="4:4" x14ac:dyDescent="0.2">
      <c r="D521" s="1058"/>
    </row>
    <row r="522" spans="4:4" x14ac:dyDescent="0.2">
      <c r="D522" s="1058"/>
    </row>
    <row r="523" spans="4:4" x14ac:dyDescent="0.2">
      <c r="D523" s="1058"/>
    </row>
    <row r="524" spans="4:4" x14ac:dyDescent="0.2">
      <c r="D524" s="1058"/>
    </row>
    <row r="525" spans="4:4" x14ac:dyDescent="0.2">
      <c r="D525" s="1058"/>
    </row>
    <row r="620" spans="2:23" s="1075" customFormat="1" x14ac:dyDescent="0.2">
      <c r="B620" s="1069" t="s">
        <v>1603</v>
      </c>
      <c r="C620" s="1070"/>
      <c r="D620" s="1071"/>
      <c r="E620" s="1071"/>
      <c r="F620" s="1071"/>
      <c r="G620" s="1071"/>
      <c r="H620" s="1071"/>
      <c r="I620" s="1071"/>
      <c r="J620" s="1071"/>
      <c r="K620" s="1072"/>
      <c r="L620" s="1070"/>
      <c r="M620" s="1070"/>
      <c r="N620" s="1072"/>
      <c r="O620" s="1070"/>
      <c r="P620" s="1070"/>
      <c r="Q620" s="1070"/>
      <c r="R620" s="1070"/>
      <c r="S620" s="1070"/>
      <c r="T620" s="1073"/>
      <c r="U620" s="1070"/>
      <c r="V620" s="1070"/>
      <c r="W620" s="1074"/>
    </row>
    <row r="621" spans="2:23" s="1075" customFormat="1" x14ac:dyDescent="0.2">
      <c r="B621" s="1076" t="s">
        <v>884</v>
      </c>
      <c r="C621" s="1070"/>
      <c r="D621" s="1071"/>
      <c r="E621" s="1071"/>
      <c r="F621" s="1071"/>
      <c r="G621" s="1071"/>
      <c r="H621" s="1071"/>
      <c r="I621" s="1071"/>
      <c r="J621" s="1071"/>
      <c r="K621" s="1072"/>
      <c r="L621" s="1070"/>
      <c r="M621" s="1070"/>
      <c r="N621" s="1072"/>
      <c r="O621" s="1070"/>
      <c r="P621" s="1070"/>
      <c r="Q621" s="1070"/>
      <c r="R621" s="1070"/>
      <c r="S621" s="1070"/>
      <c r="T621" s="1073"/>
      <c r="U621" s="1070"/>
      <c r="V621" s="1070"/>
      <c r="W621" s="1074"/>
    </row>
    <row r="622" spans="2:23" s="1075" customFormat="1" x14ac:dyDescent="0.2">
      <c r="B622" s="1069"/>
      <c r="C622" s="1070"/>
      <c r="D622" s="1071"/>
      <c r="E622" s="1071"/>
      <c r="F622" s="1071"/>
      <c r="G622" s="1071"/>
      <c r="H622" s="1071"/>
      <c r="I622" s="1071"/>
      <c r="J622" s="1071"/>
      <c r="K622" s="1072"/>
      <c r="L622" s="1070"/>
      <c r="M622" s="1070"/>
      <c r="N622" s="1072"/>
      <c r="O622" s="1070"/>
      <c r="P622" s="1070"/>
      <c r="Q622" s="1070"/>
      <c r="R622" s="1070"/>
      <c r="S622" s="1070"/>
      <c r="T622" s="1073"/>
      <c r="U622" s="1070"/>
      <c r="V622" s="1070"/>
      <c r="W622" s="1074"/>
    </row>
  </sheetData>
  <sheetProtection algorithmName="SHA-512" hashValue="aEfkZpIVXIOnUV70yc/aNshG40gg+yCni/a1VJye1fsm1IKj/DyJs2phuWQPHPmkLBOBF/rXCV/KQ+mIRH29Mw==" saltValue="pLH2s6sfBGNHXC433LU3OA==" spinCount="100000" sheet="1" pivotTables="0"/>
  <mergeCells count="93">
    <mergeCell ref="B2:B3"/>
    <mergeCell ref="V2:V3"/>
    <mergeCell ref="C2:U3"/>
    <mergeCell ref="C5:F5"/>
    <mergeCell ref="L16:M17"/>
    <mergeCell ref="B14:W14"/>
    <mergeCell ref="C7:D7"/>
    <mergeCell ref="C8:D8"/>
    <mergeCell ref="B11:B12"/>
    <mergeCell ref="D11:D12"/>
    <mergeCell ref="C9:D9"/>
    <mergeCell ref="S16:V16"/>
    <mergeCell ref="P22:P24"/>
    <mergeCell ref="K22:L22"/>
    <mergeCell ref="M22:M24"/>
    <mergeCell ref="K23:K24"/>
    <mergeCell ref="L23:L24"/>
    <mergeCell ref="N22:O22"/>
    <mergeCell ref="B462:C462"/>
    <mergeCell ref="E16:E24"/>
    <mergeCell ref="B459:C459"/>
    <mergeCell ref="B460:C460"/>
    <mergeCell ref="B461:C461"/>
    <mergeCell ref="L19:M20"/>
    <mergeCell ref="F16:F24"/>
    <mergeCell ref="H16:H17"/>
    <mergeCell ref="I16:J17"/>
    <mergeCell ref="H19:H21"/>
    <mergeCell ref="I19:J21"/>
    <mergeCell ref="K19:K20"/>
    <mergeCell ref="B493:C493"/>
    <mergeCell ref="B487:C487"/>
    <mergeCell ref="B488:C488"/>
    <mergeCell ref="B489:C489"/>
    <mergeCell ref="B490:C490"/>
    <mergeCell ref="B491:C491"/>
    <mergeCell ref="B492:C492"/>
    <mergeCell ref="B486:C486"/>
    <mergeCell ref="B475:C475"/>
    <mergeCell ref="B476:C476"/>
    <mergeCell ref="B477:C477"/>
    <mergeCell ref="B478:C478"/>
    <mergeCell ref="B479:C479"/>
    <mergeCell ref="B480:C480"/>
    <mergeCell ref="B481:C481"/>
    <mergeCell ref="B482:C482"/>
    <mergeCell ref="B483:C483"/>
    <mergeCell ref="B484:C484"/>
    <mergeCell ref="B485:C485"/>
    <mergeCell ref="B474:C474"/>
    <mergeCell ref="B463:C463"/>
    <mergeCell ref="B464:C464"/>
    <mergeCell ref="B465:C465"/>
    <mergeCell ref="B466:C466"/>
    <mergeCell ref="B467:C467"/>
    <mergeCell ref="B468:C468"/>
    <mergeCell ref="B469:C469"/>
    <mergeCell ref="B470:C470"/>
    <mergeCell ref="B471:C471"/>
    <mergeCell ref="B472:C472"/>
    <mergeCell ref="B473:C473"/>
    <mergeCell ref="Q22:R22"/>
    <mergeCell ref="Q23:Q24"/>
    <mergeCell ref="R23:R24"/>
    <mergeCell ref="B457:C457"/>
    <mergeCell ref="B458:C458"/>
    <mergeCell ref="J22:J24"/>
    <mergeCell ref="B456:C456"/>
    <mergeCell ref="H23:H24"/>
    <mergeCell ref="I23:I24"/>
    <mergeCell ref="B453:C453"/>
    <mergeCell ref="B454:C454"/>
    <mergeCell ref="B455:C455"/>
    <mergeCell ref="G16:G24"/>
    <mergeCell ref="B16:B24"/>
    <mergeCell ref="C16:C24"/>
    <mergeCell ref="D16:D24"/>
    <mergeCell ref="V22:V24"/>
    <mergeCell ref="U21:V21"/>
    <mergeCell ref="K16:K17"/>
    <mergeCell ref="O21:P21"/>
    <mergeCell ref="I18:J18"/>
    <mergeCell ref="N23:N24"/>
    <mergeCell ref="O23:O24"/>
    <mergeCell ref="H22:I22"/>
    <mergeCell ref="O16:Q16"/>
    <mergeCell ref="L18:M18"/>
    <mergeCell ref="L21:M21"/>
    <mergeCell ref="T23:T24"/>
    <mergeCell ref="U23:U24"/>
    <mergeCell ref="S22:S24"/>
    <mergeCell ref="T22:U22"/>
    <mergeCell ref="R21:S21"/>
  </mergeCells>
  <conditionalFormatting sqref="B2:C2">
    <cfRule type="cellIs" dxfId="126" priority="1" operator="equal">
      <formula>"ERROR"</formula>
    </cfRule>
  </conditionalFormatting>
  <conditionalFormatting sqref="D11:H12">
    <cfRule type="beginsWith" dxfId="125" priority="33" operator="beginsWith" text="PLAN ESTRATEGICO INSTITUCIONAL o CORPORATIVO">
      <formula>LEFT(D11,LEN("PLAN ESTRATEGICO INSTITUCIONAL o CORPORATIVO"))="PLAN ESTRATEGICO INSTITUCIONAL o CORPORATIVO"</formula>
    </cfRule>
  </conditionalFormatting>
  <conditionalFormatting sqref="E389:F389">
    <cfRule type="containsText" dxfId="124" priority="34" stopIfTrue="1" operator="containsText" text="Secretaría de Gestión del Riesgo">
      <formula>NOT(ISERROR(SEARCH("Secretaría de Gestión del Riesgo",E389)))</formula>
    </cfRule>
  </conditionalFormatting>
  <conditionalFormatting sqref="E11:H12">
    <cfRule type="cellIs" dxfId="123" priority="30" operator="between">
      <formula>""""""</formula>
      <formula>""""""</formula>
    </cfRule>
    <cfRule type="cellIs" dxfId="122" priority="31" operator="between">
      <formula>""""""</formula>
      <formula>""""""</formula>
    </cfRule>
  </conditionalFormatting>
  <conditionalFormatting sqref="I16:J17">
    <cfRule type="cellIs" dxfId="121" priority="5" operator="between">
      <formula>0.75</formula>
      <formula>1</formula>
    </cfRule>
    <cfRule type="cellIs" dxfId="120" priority="7" operator="between">
      <formula>0</formula>
      <formula>0.749</formula>
    </cfRule>
  </conditionalFormatting>
  <conditionalFormatting sqref="I18:J18">
    <cfRule type="containsText" dxfId="119" priority="2" operator="containsText" text="INEFICAZ">
      <formula>NOT(ISERROR(SEARCH("INEFICAZ",I18)))</formula>
    </cfRule>
    <cfRule type="containsText" dxfId="118" priority="3" operator="containsText" text="EFICAZ">
      <formula>NOT(ISERROR(SEARCH("EFICAZ",I18)))</formula>
    </cfRule>
  </conditionalFormatting>
  <conditionalFormatting sqref="L16:M17">
    <cfRule type="cellIs" dxfId="117" priority="10" operator="between">
      <formula>0.75</formula>
      <formula>1</formula>
    </cfRule>
    <cfRule type="cellIs" dxfId="116" priority="23" operator="between">
      <formula>0</formula>
      <formula>0.749</formula>
    </cfRule>
  </conditionalFormatting>
  <conditionalFormatting sqref="L18:M18">
    <cfRule type="containsText" dxfId="115" priority="8" operator="containsText" text="INEFICIENTE">
      <formula>NOT(ISERROR(SEARCH("INEFICIENTE",L18)))</formula>
    </cfRule>
    <cfRule type="containsText" dxfId="114" priority="9" operator="containsText" text="EFICIENTE">
      <formula>NOT(ISERROR(SEARCH("EFICIENTE",L18)))</formula>
    </cfRule>
  </conditionalFormatting>
  <conditionalFormatting sqref="P18:P19">
    <cfRule type="cellIs" dxfId="113" priority="16" operator="between">
      <formula>0</formula>
      <formula>74.99</formula>
    </cfRule>
  </conditionalFormatting>
  <conditionalFormatting sqref="P18:Q19">
    <cfRule type="containsText" dxfId="112" priority="12" operator="containsText" text="No Aplica">
      <formula>NOT(ISERROR(SEARCH("No Aplica",P18)))</formula>
    </cfRule>
  </conditionalFormatting>
  <conditionalFormatting sqref="Q18">
    <cfRule type="containsText" dxfId="111" priority="20" operator="containsText" text="INEFICAZ">
      <formula>NOT(ISERROR(SEARCH("INEFICAZ",Q18)))</formula>
    </cfRule>
    <cfRule type="containsText" dxfId="110" priority="21" operator="containsText" text="EFICAZ">
      <formula>NOT(ISERROR(SEARCH("EFICAZ",Q18)))</formula>
    </cfRule>
  </conditionalFormatting>
  <conditionalFormatting sqref="Q19">
    <cfRule type="containsText" dxfId="109" priority="18" operator="containsText" text="INEFICIENTE">
      <formula>NOT(ISERROR(SEARCH("INEFICIENTE",Q19)))</formula>
    </cfRule>
    <cfRule type="containsText" dxfId="108" priority="19" operator="containsText" text="EFICIENTE">
      <formula>NOT(ISERROR(SEARCH("EFICIENTE",Q19)))</formula>
    </cfRule>
  </conditionalFormatting>
  <dataValidations count="3">
    <dataValidation type="list" allowBlank="1" showInputMessage="1" showErrorMessage="1" sqref="D11:D12">
      <formula1>$B$620:$B$621</formula1>
    </dataValidation>
    <dataValidation type="whole" allowBlank="1" showInputMessage="1" showErrorMessage="1" sqref="WVZ983273:WVZ983586 JM25:JM334 TI25:TI334 ADE25:ADE334 ANA25:ANA334 AWW25:AWW334 BGS25:BGS334 BQO25:BQO334 CAK25:CAK334 CKG25:CKG334 CUC25:CUC334 DDY25:DDY334 DNU25:DNU334 DXQ25:DXQ334 EHM25:EHM334 ERI25:ERI334 FBE25:FBE334 FLA25:FLA334 FUW25:FUW334 GES25:GES334 GOO25:GOO334 GYK25:GYK334 HIG25:HIG334 HSC25:HSC334 IBY25:IBY334 ILU25:ILU334 IVQ25:IVQ334 JFM25:JFM334 JPI25:JPI334 JZE25:JZE334 KJA25:KJA334 KSW25:KSW334 LCS25:LCS334 LMO25:LMO334 LWK25:LWK334 MGG25:MGG334 MQC25:MQC334 MZY25:MZY334 NJU25:NJU334 NTQ25:NTQ334 ODM25:ODM334 ONI25:ONI334 OXE25:OXE334 PHA25:PHA334 PQW25:PQW334 QAS25:QAS334 QKO25:QKO334 QUK25:QUK334 REG25:REG334 ROC25:ROC334 RXY25:RXY334 SHU25:SHU334 SRQ25:SRQ334 TBM25:TBM334 TLI25:TLI334 TVE25:TVE334 UFA25:UFA334 UOW25:UOW334 UYS25:UYS334 VIO25:VIO334 VSK25:VSK334 WCG25:WCG334 WMC25:WMC334 WVY25:WVY334 JN65457:JN65766 TJ65457:TJ65766 ADF65457:ADF65766 ANB65457:ANB65766 AWX65457:AWX65766 BGT65457:BGT65766 BQP65457:BQP65766 CAL65457:CAL65766 CKH65457:CKH65766 CUD65457:CUD65766 DDZ65457:DDZ65766 DNV65457:DNV65766 DXR65457:DXR65766 EHN65457:EHN65766 ERJ65457:ERJ65766 FBF65457:FBF65766 FLB65457:FLB65766 FUX65457:FUX65766 GET65457:GET65766 GOP65457:GOP65766 GYL65457:GYL65766 HIH65457:HIH65766 HSD65457:HSD65766 IBZ65457:IBZ65766 ILV65457:ILV65766 IVR65457:IVR65766 JFN65457:JFN65766 JPJ65457:JPJ65766 JZF65457:JZF65766 KJB65457:KJB65766 KSX65457:KSX65766 LCT65457:LCT65766 LMP65457:LMP65766 LWL65457:LWL65766 MGH65457:MGH65766 MQD65457:MQD65766 MZZ65457:MZZ65766 NJV65457:NJV65766 NTR65457:NTR65766 ODN65457:ODN65766 ONJ65457:ONJ65766 OXF65457:OXF65766 PHB65457:PHB65766 PQX65457:PQX65766 QAT65457:QAT65766 QKP65457:QKP65766 QUL65457:QUL65766 REH65457:REH65766 ROD65457:ROD65766 RXZ65457:RXZ65766 SHV65457:SHV65766 SRR65457:SRR65766 TBN65457:TBN65766 TLJ65457:TLJ65766 TVF65457:TVF65766 UFB65457:UFB65766 UOX65457:UOX65766 UYT65457:UYT65766 VIP65457:VIP65766 VSL65457:VSL65766 WCH65457:WCH65766 WMD65457:WMD65766 WVZ65457:WVZ65766 JN130993:JN131302 TJ130993:TJ131302 ADF130993:ADF131302 ANB130993:ANB131302 AWX130993:AWX131302 BGT130993:BGT131302 BQP130993:BQP131302 CAL130993:CAL131302 CKH130993:CKH131302 CUD130993:CUD131302 DDZ130993:DDZ131302 DNV130993:DNV131302 DXR130993:DXR131302 EHN130993:EHN131302 ERJ130993:ERJ131302 FBF130993:FBF131302 FLB130993:FLB131302 FUX130993:FUX131302 GET130993:GET131302 GOP130993:GOP131302 GYL130993:GYL131302 HIH130993:HIH131302 HSD130993:HSD131302 IBZ130993:IBZ131302 ILV130993:ILV131302 IVR130993:IVR131302 JFN130993:JFN131302 JPJ130993:JPJ131302 JZF130993:JZF131302 KJB130993:KJB131302 KSX130993:KSX131302 LCT130993:LCT131302 LMP130993:LMP131302 LWL130993:LWL131302 MGH130993:MGH131302 MQD130993:MQD131302 MZZ130993:MZZ131302 NJV130993:NJV131302 NTR130993:NTR131302 ODN130993:ODN131302 ONJ130993:ONJ131302 OXF130993:OXF131302 PHB130993:PHB131302 PQX130993:PQX131302 QAT130993:QAT131302 QKP130993:QKP131302 QUL130993:QUL131302 REH130993:REH131302 ROD130993:ROD131302 RXZ130993:RXZ131302 SHV130993:SHV131302 SRR130993:SRR131302 TBN130993:TBN131302 TLJ130993:TLJ131302 TVF130993:TVF131302 UFB130993:UFB131302 UOX130993:UOX131302 UYT130993:UYT131302 VIP130993:VIP131302 VSL130993:VSL131302 WCH130993:WCH131302 WMD130993:WMD131302 WVZ130993:WVZ131302 JN196529:JN196838 TJ196529:TJ196838 ADF196529:ADF196838 ANB196529:ANB196838 AWX196529:AWX196838 BGT196529:BGT196838 BQP196529:BQP196838 CAL196529:CAL196838 CKH196529:CKH196838 CUD196529:CUD196838 DDZ196529:DDZ196838 DNV196529:DNV196838 DXR196529:DXR196838 EHN196529:EHN196838 ERJ196529:ERJ196838 FBF196529:FBF196838 FLB196529:FLB196838 FUX196529:FUX196838 GET196529:GET196838 GOP196529:GOP196838 GYL196529:GYL196838 HIH196529:HIH196838 HSD196529:HSD196838 IBZ196529:IBZ196838 ILV196529:ILV196838 IVR196529:IVR196838 JFN196529:JFN196838 JPJ196529:JPJ196838 JZF196529:JZF196838 KJB196529:KJB196838 KSX196529:KSX196838 LCT196529:LCT196838 LMP196529:LMP196838 LWL196529:LWL196838 MGH196529:MGH196838 MQD196529:MQD196838 MZZ196529:MZZ196838 NJV196529:NJV196838 NTR196529:NTR196838 ODN196529:ODN196838 ONJ196529:ONJ196838 OXF196529:OXF196838 PHB196529:PHB196838 PQX196529:PQX196838 QAT196529:QAT196838 QKP196529:QKP196838 QUL196529:QUL196838 REH196529:REH196838 ROD196529:ROD196838 RXZ196529:RXZ196838 SHV196529:SHV196838 SRR196529:SRR196838 TBN196529:TBN196838 TLJ196529:TLJ196838 TVF196529:TVF196838 UFB196529:UFB196838 UOX196529:UOX196838 UYT196529:UYT196838 VIP196529:VIP196838 VSL196529:VSL196838 WCH196529:WCH196838 WMD196529:WMD196838 WVZ196529:WVZ196838 JN262065:JN262374 TJ262065:TJ262374 ADF262065:ADF262374 ANB262065:ANB262374 AWX262065:AWX262374 BGT262065:BGT262374 BQP262065:BQP262374 CAL262065:CAL262374 CKH262065:CKH262374 CUD262065:CUD262374 DDZ262065:DDZ262374 DNV262065:DNV262374 DXR262065:DXR262374 EHN262065:EHN262374 ERJ262065:ERJ262374 FBF262065:FBF262374 FLB262065:FLB262374 FUX262065:FUX262374 GET262065:GET262374 GOP262065:GOP262374 GYL262065:GYL262374 HIH262065:HIH262374 HSD262065:HSD262374 IBZ262065:IBZ262374 ILV262065:ILV262374 IVR262065:IVR262374 JFN262065:JFN262374 JPJ262065:JPJ262374 JZF262065:JZF262374 KJB262065:KJB262374 KSX262065:KSX262374 LCT262065:LCT262374 LMP262065:LMP262374 LWL262065:LWL262374 MGH262065:MGH262374 MQD262065:MQD262374 MZZ262065:MZZ262374 NJV262065:NJV262374 NTR262065:NTR262374 ODN262065:ODN262374 ONJ262065:ONJ262374 OXF262065:OXF262374 PHB262065:PHB262374 PQX262065:PQX262374 QAT262065:QAT262374 QKP262065:QKP262374 QUL262065:QUL262374 REH262065:REH262374 ROD262065:ROD262374 RXZ262065:RXZ262374 SHV262065:SHV262374 SRR262065:SRR262374 TBN262065:TBN262374 TLJ262065:TLJ262374 TVF262065:TVF262374 UFB262065:UFB262374 UOX262065:UOX262374 UYT262065:UYT262374 VIP262065:VIP262374 VSL262065:VSL262374 WCH262065:WCH262374 WMD262065:WMD262374 WVZ262065:WVZ262374 JN327601:JN327910 TJ327601:TJ327910 ADF327601:ADF327910 ANB327601:ANB327910 AWX327601:AWX327910 BGT327601:BGT327910 BQP327601:BQP327910 CAL327601:CAL327910 CKH327601:CKH327910 CUD327601:CUD327910 DDZ327601:DDZ327910 DNV327601:DNV327910 DXR327601:DXR327910 EHN327601:EHN327910 ERJ327601:ERJ327910 FBF327601:FBF327910 FLB327601:FLB327910 FUX327601:FUX327910 GET327601:GET327910 GOP327601:GOP327910 GYL327601:GYL327910 HIH327601:HIH327910 HSD327601:HSD327910 IBZ327601:IBZ327910 ILV327601:ILV327910 IVR327601:IVR327910 JFN327601:JFN327910 JPJ327601:JPJ327910 JZF327601:JZF327910 KJB327601:KJB327910 KSX327601:KSX327910 LCT327601:LCT327910 LMP327601:LMP327910 LWL327601:LWL327910 MGH327601:MGH327910 MQD327601:MQD327910 MZZ327601:MZZ327910 NJV327601:NJV327910 NTR327601:NTR327910 ODN327601:ODN327910 ONJ327601:ONJ327910 OXF327601:OXF327910 PHB327601:PHB327910 PQX327601:PQX327910 QAT327601:QAT327910 QKP327601:QKP327910 QUL327601:QUL327910 REH327601:REH327910 ROD327601:ROD327910 RXZ327601:RXZ327910 SHV327601:SHV327910 SRR327601:SRR327910 TBN327601:TBN327910 TLJ327601:TLJ327910 TVF327601:TVF327910 UFB327601:UFB327910 UOX327601:UOX327910 UYT327601:UYT327910 VIP327601:VIP327910 VSL327601:VSL327910 WCH327601:WCH327910 WMD327601:WMD327910 WVZ327601:WVZ327910 JN393137:JN393446 TJ393137:TJ393446 ADF393137:ADF393446 ANB393137:ANB393446 AWX393137:AWX393446 BGT393137:BGT393446 BQP393137:BQP393446 CAL393137:CAL393446 CKH393137:CKH393446 CUD393137:CUD393446 DDZ393137:DDZ393446 DNV393137:DNV393446 DXR393137:DXR393446 EHN393137:EHN393446 ERJ393137:ERJ393446 FBF393137:FBF393446 FLB393137:FLB393446 FUX393137:FUX393446 GET393137:GET393446 GOP393137:GOP393446 GYL393137:GYL393446 HIH393137:HIH393446 HSD393137:HSD393446 IBZ393137:IBZ393446 ILV393137:ILV393446 IVR393137:IVR393446 JFN393137:JFN393446 JPJ393137:JPJ393446 JZF393137:JZF393446 KJB393137:KJB393446 KSX393137:KSX393446 LCT393137:LCT393446 LMP393137:LMP393446 LWL393137:LWL393446 MGH393137:MGH393446 MQD393137:MQD393446 MZZ393137:MZZ393446 NJV393137:NJV393446 NTR393137:NTR393446 ODN393137:ODN393446 ONJ393137:ONJ393446 OXF393137:OXF393446 PHB393137:PHB393446 PQX393137:PQX393446 QAT393137:QAT393446 QKP393137:QKP393446 QUL393137:QUL393446 REH393137:REH393446 ROD393137:ROD393446 RXZ393137:RXZ393446 SHV393137:SHV393446 SRR393137:SRR393446 TBN393137:TBN393446 TLJ393137:TLJ393446 TVF393137:TVF393446 UFB393137:UFB393446 UOX393137:UOX393446 UYT393137:UYT393446 VIP393137:VIP393446 VSL393137:VSL393446 WCH393137:WCH393446 WMD393137:WMD393446 WVZ393137:WVZ393446 JN458673:JN458982 TJ458673:TJ458982 ADF458673:ADF458982 ANB458673:ANB458982 AWX458673:AWX458982 BGT458673:BGT458982 BQP458673:BQP458982 CAL458673:CAL458982 CKH458673:CKH458982 CUD458673:CUD458982 DDZ458673:DDZ458982 DNV458673:DNV458982 DXR458673:DXR458982 EHN458673:EHN458982 ERJ458673:ERJ458982 FBF458673:FBF458982 FLB458673:FLB458982 FUX458673:FUX458982 GET458673:GET458982 GOP458673:GOP458982 GYL458673:GYL458982 HIH458673:HIH458982 HSD458673:HSD458982 IBZ458673:IBZ458982 ILV458673:ILV458982 IVR458673:IVR458982 JFN458673:JFN458982 JPJ458673:JPJ458982 JZF458673:JZF458982 KJB458673:KJB458982 KSX458673:KSX458982 LCT458673:LCT458982 LMP458673:LMP458982 LWL458673:LWL458982 MGH458673:MGH458982 MQD458673:MQD458982 MZZ458673:MZZ458982 NJV458673:NJV458982 NTR458673:NTR458982 ODN458673:ODN458982 ONJ458673:ONJ458982 OXF458673:OXF458982 PHB458673:PHB458982 PQX458673:PQX458982 QAT458673:QAT458982 QKP458673:QKP458982 QUL458673:QUL458982 REH458673:REH458982 ROD458673:ROD458982 RXZ458673:RXZ458982 SHV458673:SHV458982 SRR458673:SRR458982 TBN458673:TBN458982 TLJ458673:TLJ458982 TVF458673:TVF458982 UFB458673:UFB458982 UOX458673:UOX458982 UYT458673:UYT458982 VIP458673:VIP458982 VSL458673:VSL458982 WCH458673:WCH458982 WMD458673:WMD458982 WVZ458673:WVZ458982 JN524209:JN524518 TJ524209:TJ524518 ADF524209:ADF524518 ANB524209:ANB524518 AWX524209:AWX524518 BGT524209:BGT524518 BQP524209:BQP524518 CAL524209:CAL524518 CKH524209:CKH524518 CUD524209:CUD524518 DDZ524209:DDZ524518 DNV524209:DNV524518 DXR524209:DXR524518 EHN524209:EHN524518 ERJ524209:ERJ524518 FBF524209:FBF524518 FLB524209:FLB524518 FUX524209:FUX524518 GET524209:GET524518 GOP524209:GOP524518 GYL524209:GYL524518 HIH524209:HIH524518 HSD524209:HSD524518 IBZ524209:IBZ524518 ILV524209:ILV524518 IVR524209:IVR524518 JFN524209:JFN524518 JPJ524209:JPJ524518 JZF524209:JZF524518 KJB524209:KJB524518 KSX524209:KSX524518 LCT524209:LCT524518 LMP524209:LMP524518 LWL524209:LWL524518 MGH524209:MGH524518 MQD524209:MQD524518 MZZ524209:MZZ524518 NJV524209:NJV524518 NTR524209:NTR524518 ODN524209:ODN524518 ONJ524209:ONJ524518 OXF524209:OXF524518 PHB524209:PHB524518 PQX524209:PQX524518 QAT524209:QAT524518 QKP524209:QKP524518 QUL524209:QUL524518 REH524209:REH524518 ROD524209:ROD524518 RXZ524209:RXZ524518 SHV524209:SHV524518 SRR524209:SRR524518 TBN524209:TBN524518 TLJ524209:TLJ524518 TVF524209:TVF524518 UFB524209:UFB524518 UOX524209:UOX524518 UYT524209:UYT524518 VIP524209:VIP524518 VSL524209:VSL524518 WCH524209:WCH524518 WMD524209:WMD524518 WVZ524209:WVZ524518 JN589745:JN590054 TJ589745:TJ590054 ADF589745:ADF590054 ANB589745:ANB590054 AWX589745:AWX590054 BGT589745:BGT590054 BQP589745:BQP590054 CAL589745:CAL590054 CKH589745:CKH590054 CUD589745:CUD590054 DDZ589745:DDZ590054 DNV589745:DNV590054 DXR589745:DXR590054 EHN589745:EHN590054 ERJ589745:ERJ590054 FBF589745:FBF590054 FLB589745:FLB590054 FUX589745:FUX590054 GET589745:GET590054 GOP589745:GOP590054 GYL589745:GYL590054 HIH589745:HIH590054 HSD589745:HSD590054 IBZ589745:IBZ590054 ILV589745:ILV590054 IVR589745:IVR590054 JFN589745:JFN590054 JPJ589745:JPJ590054 JZF589745:JZF590054 KJB589745:KJB590054 KSX589745:KSX590054 LCT589745:LCT590054 LMP589745:LMP590054 LWL589745:LWL590054 MGH589745:MGH590054 MQD589745:MQD590054 MZZ589745:MZZ590054 NJV589745:NJV590054 NTR589745:NTR590054 ODN589745:ODN590054 ONJ589745:ONJ590054 OXF589745:OXF590054 PHB589745:PHB590054 PQX589745:PQX590054 QAT589745:QAT590054 QKP589745:QKP590054 QUL589745:QUL590054 REH589745:REH590054 ROD589745:ROD590054 RXZ589745:RXZ590054 SHV589745:SHV590054 SRR589745:SRR590054 TBN589745:TBN590054 TLJ589745:TLJ590054 TVF589745:TVF590054 UFB589745:UFB590054 UOX589745:UOX590054 UYT589745:UYT590054 VIP589745:VIP590054 VSL589745:VSL590054 WCH589745:WCH590054 WMD589745:WMD590054 WVZ589745:WVZ590054 JN655281:JN655590 TJ655281:TJ655590 ADF655281:ADF655590 ANB655281:ANB655590 AWX655281:AWX655590 BGT655281:BGT655590 BQP655281:BQP655590 CAL655281:CAL655590 CKH655281:CKH655590 CUD655281:CUD655590 DDZ655281:DDZ655590 DNV655281:DNV655590 DXR655281:DXR655590 EHN655281:EHN655590 ERJ655281:ERJ655590 FBF655281:FBF655590 FLB655281:FLB655590 FUX655281:FUX655590 GET655281:GET655590 GOP655281:GOP655590 GYL655281:GYL655590 HIH655281:HIH655590 HSD655281:HSD655590 IBZ655281:IBZ655590 ILV655281:ILV655590 IVR655281:IVR655590 JFN655281:JFN655590 JPJ655281:JPJ655590 JZF655281:JZF655590 KJB655281:KJB655590 KSX655281:KSX655590 LCT655281:LCT655590 LMP655281:LMP655590 LWL655281:LWL655590 MGH655281:MGH655590 MQD655281:MQD655590 MZZ655281:MZZ655590 NJV655281:NJV655590 NTR655281:NTR655590 ODN655281:ODN655590 ONJ655281:ONJ655590 OXF655281:OXF655590 PHB655281:PHB655590 PQX655281:PQX655590 QAT655281:QAT655590 QKP655281:QKP655590 QUL655281:QUL655590 REH655281:REH655590 ROD655281:ROD655590 RXZ655281:RXZ655590 SHV655281:SHV655590 SRR655281:SRR655590 TBN655281:TBN655590 TLJ655281:TLJ655590 TVF655281:TVF655590 UFB655281:UFB655590 UOX655281:UOX655590 UYT655281:UYT655590 VIP655281:VIP655590 VSL655281:VSL655590 WCH655281:WCH655590 WMD655281:WMD655590 WVZ655281:WVZ655590 JN720817:JN721126 TJ720817:TJ721126 ADF720817:ADF721126 ANB720817:ANB721126 AWX720817:AWX721126 BGT720817:BGT721126 BQP720817:BQP721126 CAL720817:CAL721126 CKH720817:CKH721126 CUD720817:CUD721126 DDZ720817:DDZ721126 DNV720817:DNV721126 DXR720817:DXR721126 EHN720817:EHN721126 ERJ720817:ERJ721126 FBF720817:FBF721126 FLB720817:FLB721126 FUX720817:FUX721126 GET720817:GET721126 GOP720817:GOP721126 GYL720817:GYL721126 HIH720817:HIH721126 HSD720817:HSD721126 IBZ720817:IBZ721126 ILV720817:ILV721126 IVR720817:IVR721126 JFN720817:JFN721126 JPJ720817:JPJ721126 JZF720817:JZF721126 KJB720817:KJB721126 KSX720817:KSX721126 LCT720817:LCT721126 LMP720817:LMP721126 LWL720817:LWL721126 MGH720817:MGH721126 MQD720817:MQD721126 MZZ720817:MZZ721126 NJV720817:NJV721126 NTR720817:NTR721126 ODN720817:ODN721126 ONJ720817:ONJ721126 OXF720817:OXF721126 PHB720817:PHB721126 PQX720817:PQX721126 QAT720817:QAT721126 QKP720817:QKP721126 QUL720817:QUL721126 REH720817:REH721126 ROD720817:ROD721126 RXZ720817:RXZ721126 SHV720817:SHV721126 SRR720817:SRR721126 TBN720817:TBN721126 TLJ720817:TLJ721126 TVF720817:TVF721126 UFB720817:UFB721126 UOX720817:UOX721126 UYT720817:UYT721126 VIP720817:VIP721126 VSL720817:VSL721126 WCH720817:WCH721126 WMD720817:WMD721126 WVZ720817:WVZ721126 JN786353:JN786662 TJ786353:TJ786662 ADF786353:ADF786662 ANB786353:ANB786662 AWX786353:AWX786662 BGT786353:BGT786662 BQP786353:BQP786662 CAL786353:CAL786662 CKH786353:CKH786662 CUD786353:CUD786662 DDZ786353:DDZ786662 DNV786353:DNV786662 DXR786353:DXR786662 EHN786353:EHN786662 ERJ786353:ERJ786662 FBF786353:FBF786662 FLB786353:FLB786662 FUX786353:FUX786662 GET786353:GET786662 GOP786353:GOP786662 GYL786353:GYL786662 HIH786353:HIH786662 HSD786353:HSD786662 IBZ786353:IBZ786662 ILV786353:ILV786662 IVR786353:IVR786662 JFN786353:JFN786662 JPJ786353:JPJ786662 JZF786353:JZF786662 KJB786353:KJB786662 KSX786353:KSX786662 LCT786353:LCT786662 LMP786353:LMP786662 LWL786353:LWL786662 MGH786353:MGH786662 MQD786353:MQD786662 MZZ786353:MZZ786662 NJV786353:NJV786662 NTR786353:NTR786662 ODN786353:ODN786662 ONJ786353:ONJ786662 OXF786353:OXF786662 PHB786353:PHB786662 PQX786353:PQX786662 QAT786353:QAT786662 QKP786353:QKP786662 QUL786353:QUL786662 REH786353:REH786662 ROD786353:ROD786662 RXZ786353:RXZ786662 SHV786353:SHV786662 SRR786353:SRR786662 TBN786353:TBN786662 TLJ786353:TLJ786662 TVF786353:TVF786662 UFB786353:UFB786662 UOX786353:UOX786662 UYT786353:UYT786662 VIP786353:VIP786662 VSL786353:VSL786662 WCH786353:WCH786662 WMD786353:WMD786662 WVZ786353:WVZ786662 JN851889:JN852198 TJ851889:TJ852198 ADF851889:ADF852198 ANB851889:ANB852198 AWX851889:AWX852198 BGT851889:BGT852198 BQP851889:BQP852198 CAL851889:CAL852198 CKH851889:CKH852198 CUD851889:CUD852198 DDZ851889:DDZ852198 DNV851889:DNV852198 DXR851889:DXR852198 EHN851889:EHN852198 ERJ851889:ERJ852198 FBF851889:FBF852198 FLB851889:FLB852198 FUX851889:FUX852198 GET851889:GET852198 GOP851889:GOP852198 GYL851889:GYL852198 HIH851889:HIH852198 HSD851889:HSD852198 IBZ851889:IBZ852198 ILV851889:ILV852198 IVR851889:IVR852198 JFN851889:JFN852198 JPJ851889:JPJ852198 JZF851889:JZF852198 KJB851889:KJB852198 KSX851889:KSX852198 LCT851889:LCT852198 LMP851889:LMP852198 LWL851889:LWL852198 MGH851889:MGH852198 MQD851889:MQD852198 MZZ851889:MZZ852198 NJV851889:NJV852198 NTR851889:NTR852198 ODN851889:ODN852198 ONJ851889:ONJ852198 OXF851889:OXF852198 PHB851889:PHB852198 PQX851889:PQX852198 QAT851889:QAT852198 QKP851889:QKP852198 QUL851889:QUL852198 REH851889:REH852198 ROD851889:ROD852198 RXZ851889:RXZ852198 SHV851889:SHV852198 SRR851889:SRR852198 TBN851889:TBN852198 TLJ851889:TLJ852198 TVF851889:TVF852198 UFB851889:UFB852198 UOX851889:UOX852198 UYT851889:UYT852198 VIP851889:VIP852198 VSL851889:VSL852198 WCH851889:WCH852198 WMD851889:WMD852198 WVZ851889:WVZ852198 JN917425:JN917734 TJ917425:TJ917734 ADF917425:ADF917734 ANB917425:ANB917734 AWX917425:AWX917734 BGT917425:BGT917734 BQP917425:BQP917734 CAL917425:CAL917734 CKH917425:CKH917734 CUD917425:CUD917734 DDZ917425:DDZ917734 DNV917425:DNV917734 DXR917425:DXR917734 EHN917425:EHN917734 ERJ917425:ERJ917734 FBF917425:FBF917734 FLB917425:FLB917734 FUX917425:FUX917734 GET917425:GET917734 GOP917425:GOP917734 GYL917425:GYL917734 HIH917425:HIH917734 HSD917425:HSD917734 IBZ917425:IBZ917734 ILV917425:ILV917734 IVR917425:IVR917734 JFN917425:JFN917734 JPJ917425:JPJ917734 JZF917425:JZF917734 KJB917425:KJB917734 KSX917425:KSX917734 LCT917425:LCT917734 LMP917425:LMP917734 LWL917425:LWL917734 MGH917425:MGH917734 MQD917425:MQD917734 MZZ917425:MZZ917734 NJV917425:NJV917734 NTR917425:NTR917734 ODN917425:ODN917734 ONJ917425:ONJ917734 OXF917425:OXF917734 PHB917425:PHB917734 PQX917425:PQX917734 QAT917425:QAT917734 QKP917425:QKP917734 QUL917425:QUL917734 REH917425:REH917734 ROD917425:ROD917734 RXZ917425:RXZ917734 SHV917425:SHV917734 SRR917425:SRR917734 TBN917425:TBN917734 TLJ917425:TLJ917734 TVF917425:TVF917734 UFB917425:UFB917734 UOX917425:UOX917734 UYT917425:UYT917734 VIP917425:VIP917734 VSL917425:VSL917734 WCH917425:WCH917734 WMD917425:WMD917734 WVZ917425:WVZ917734 JN982961:JN983270 TJ982961:TJ983270 ADF982961:ADF983270 ANB982961:ANB983270 AWX982961:AWX983270 BGT982961:BGT983270 BQP982961:BQP983270 CAL982961:CAL983270 CKH982961:CKH983270 CUD982961:CUD983270 DDZ982961:DDZ983270 DNV982961:DNV983270 DXR982961:DXR983270 EHN982961:EHN983270 ERJ982961:ERJ983270 FBF982961:FBF983270 FLB982961:FLB983270 FUX982961:FUX983270 GET982961:GET983270 GOP982961:GOP983270 GYL982961:GYL983270 HIH982961:HIH983270 HSD982961:HSD983270 IBZ982961:IBZ983270 ILV982961:ILV983270 IVR982961:IVR983270 JFN982961:JFN983270 JPJ982961:JPJ983270 JZF982961:JZF983270 KJB982961:KJB983270 KSX982961:KSX983270 LCT982961:LCT983270 LMP982961:LMP983270 LWL982961:LWL983270 MGH982961:MGH983270 MQD982961:MQD983270 MZZ982961:MZZ983270 NJV982961:NJV983270 NTR982961:NTR983270 ODN982961:ODN983270 ONJ982961:ONJ983270 OXF982961:OXF983270 PHB982961:PHB983270 PQX982961:PQX983270 QAT982961:QAT983270 QKP982961:QKP983270 QUL982961:QUL983270 REH982961:REH983270 ROD982961:ROD983270 RXZ982961:RXZ983270 SHV982961:SHV983270 SRR982961:SRR983270 TBN982961:TBN983270 TLJ982961:TLJ983270 TVF982961:TVF983270 UFB982961:UFB983270 UOX982961:UOX983270 UYT982961:UYT983270 VIP982961:VIP983270 VSL982961:VSL983270 WCH982961:WCH983270 WMD982961:WMD983270 WVZ982961:WVZ983270 JN65769:JN66082 TJ65769:TJ66082 ADF65769:ADF66082 ANB65769:ANB66082 AWX65769:AWX66082 BGT65769:BGT66082 BQP65769:BQP66082 CAL65769:CAL66082 CKH65769:CKH66082 CUD65769:CUD66082 DDZ65769:DDZ66082 DNV65769:DNV66082 DXR65769:DXR66082 EHN65769:EHN66082 ERJ65769:ERJ66082 FBF65769:FBF66082 FLB65769:FLB66082 FUX65769:FUX66082 GET65769:GET66082 GOP65769:GOP66082 GYL65769:GYL66082 HIH65769:HIH66082 HSD65769:HSD66082 IBZ65769:IBZ66082 ILV65769:ILV66082 IVR65769:IVR66082 JFN65769:JFN66082 JPJ65769:JPJ66082 JZF65769:JZF66082 KJB65769:KJB66082 KSX65769:KSX66082 LCT65769:LCT66082 LMP65769:LMP66082 LWL65769:LWL66082 MGH65769:MGH66082 MQD65769:MQD66082 MZZ65769:MZZ66082 NJV65769:NJV66082 NTR65769:NTR66082 ODN65769:ODN66082 ONJ65769:ONJ66082 OXF65769:OXF66082 PHB65769:PHB66082 PQX65769:PQX66082 QAT65769:QAT66082 QKP65769:QKP66082 QUL65769:QUL66082 REH65769:REH66082 ROD65769:ROD66082 RXZ65769:RXZ66082 SHV65769:SHV66082 SRR65769:SRR66082 TBN65769:TBN66082 TLJ65769:TLJ66082 TVF65769:TVF66082 UFB65769:UFB66082 UOX65769:UOX66082 UYT65769:UYT66082 VIP65769:VIP66082 VSL65769:VSL66082 WCH65769:WCH66082 WMD65769:WMD66082 WVZ65769:WVZ66082 JN131305:JN131618 TJ131305:TJ131618 ADF131305:ADF131618 ANB131305:ANB131618 AWX131305:AWX131618 BGT131305:BGT131618 BQP131305:BQP131618 CAL131305:CAL131618 CKH131305:CKH131618 CUD131305:CUD131618 DDZ131305:DDZ131618 DNV131305:DNV131618 DXR131305:DXR131618 EHN131305:EHN131618 ERJ131305:ERJ131618 FBF131305:FBF131618 FLB131305:FLB131618 FUX131305:FUX131618 GET131305:GET131618 GOP131305:GOP131618 GYL131305:GYL131618 HIH131305:HIH131618 HSD131305:HSD131618 IBZ131305:IBZ131618 ILV131305:ILV131618 IVR131305:IVR131618 JFN131305:JFN131618 JPJ131305:JPJ131618 JZF131305:JZF131618 KJB131305:KJB131618 KSX131305:KSX131618 LCT131305:LCT131618 LMP131305:LMP131618 LWL131305:LWL131618 MGH131305:MGH131618 MQD131305:MQD131618 MZZ131305:MZZ131618 NJV131305:NJV131618 NTR131305:NTR131618 ODN131305:ODN131618 ONJ131305:ONJ131618 OXF131305:OXF131618 PHB131305:PHB131618 PQX131305:PQX131618 QAT131305:QAT131618 QKP131305:QKP131618 QUL131305:QUL131618 REH131305:REH131618 ROD131305:ROD131618 RXZ131305:RXZ131618 SHV131305:SHV131618 SRR131305:SRR131618 TBN131305:TBN131618 TLJ131305:TLJ131618 TVF131305:TVF131618 UFB131305:UFB131618 UOX131305:UOX131618 UYT131305:UYT131618 VIP131305:VIP131618 VSL131305:VSL131618 WCH131305:WCH131618 WMD131305:WMD131618 WVZ131305:WVZ131618 JN196841:JN197154 TJ196841:TJ197154 ADF196841:ADF197154 ANB196841:ANB197154 AWX196841:AWX197154 BGT196841:BGT197154 BQP196841:BQP197154 CAL196841:CAL197154 CKH196841:CKH197154 CUD196841:CUD197154 DDZ196841:DDZ197154 DNV196841:DNV197154 DXR196841:DXR197154 EHN196841:EHN197154 ERJ196841:ERJ197154 FBF196841:FBF197154 FLB196841:FLB197154 FUX196841:FUX197154 GET196841:GET197154 GOP196841:GOP197154 GYL196841:GYL197154 HIH196841:HIH197154 HSD196841:HSD197154 IBZ196841:IBZ197154 ILV196841:ILV197154 IVR196841:IVR197154 JFN196841:JFN197154 JPJ196841:JPJ197154 JZF196841:JZF197154 KJB196841:KJB197154 KSX196841:KSX197154 LCT196841:LCT197154 LMP196841:LMP197154 LWL196841:LWL197154 MGH196841:MGH197154 MQD196841:MQD197154 MZZ196841:MZZ197154 NJV196841:NJV197154 NTR196841:NTR197154 ODN196841:ODN197154 ONJ196841:ONJ197154 OXF196841:OXF197154 PHB196841:PHB197154 PQX196841:PQX197154 QAT196841:QAT197154 QKP196841:QKP197154 QUL196841:QUL197154 REH196841:REH197154 ROD196841:ROD197154 RXZ196841:RXZ197154 SHV196841:SHV197154 SRR196841:SRR197154 TBN196841:TBN197154 TLJ196841:TLJ197154 TVF196841:TVF197154 UFB196841:UFB197154 UOX196841:UOX197154 UYT196841:UYT197154 VIP196841:VIP197154 VSL196841:VSL197154 WCH196841:WCH197154 WMD196841:WMD197154 WVZ196841:WVZ197154 JN262377:JN262690 TJ262377:TJ262690 ADF262377:ADF262690 ANB262377:ANB262690 AWX262377:AWX262690 BGT262377:BGT262690 BQP262377:BQP262690 CAL262377:CAL262690 CKH262377:CKH262690 CUD262377:CUD262690 DDZ262377:DDZ262690 DNV262377:DNV262690 DXR262377:DXR262690 EHN262377:EHN262690 ERJ262377:ERJ262690 FBF262377:FBF262690 FLB262377:FLB262690 FUX262377:FUX262690 GET262377:GET262690 GOP262377:GOP262690 GYL262377:GYL262690 HIH262377:HIH262690 HSD262377:HSD262690 IBZ262377:IBZ262690 ILV262377:ILV262690 IVR262377:IVR262690 JFN262377:JFN262690 JPJ262377:JPJ262690 JZF262377:JZF262690 KJB262377:KJB262690 KSX262377:KSX262690 LCT262377:LCT262690 LMP262377:LMP262690 LWL262377:LWL262690 MGH262377:MGH262690 MQD262377:MQD262690 MZZ262377:MZZ262690 NJV262377:NJV262690 NTR262377:NTR262690 ODN262377:ODN262690 ONJ262377:ONJ262690 OXF262377:OXF262690 PHB262377:PHB262690 PQX262377:PQX262690 QAT262377:QAT262690 QKP262377:QKP262690 QUL262377:QUL262690 REH262377:REH262690 ROD262377:ROD262690 RXZ262377:RXZ262690 SHV262377:SHV262690 SRR262377:SRR262690 TBN262377:TBN262690 TLJ262377:TLJ262690 TVF262377:TVF262690 UFB262377:UFB262690 UOX262377:UOX262690 UYT262377:UYT262690 VIP262377:VIP262690 VSL262377:VSL262690 WCH262377:WCH262690 WMD262377:WMD262690 WVZ262377:WVZ262690 JN327913:JN328226 TJ327913:TJ328226 ADF327913:ADF328226 ANB327913:ANB328226 AWX327913:AWX328226 BGT327913:BGT328226 BQP327913:BQP328226 CAL327913:CAL328226 CKH327913:CKH328226 CUD327913:CUD328226 DDZ327913:DDZ328226 DNV327913:DNV328226 DXR327913:DXR328226 EHN327913:EHN328226 ERJ327913:ERJ328226 FBF327913:FBF328226 FLB327913:FLB328226 FUX327913:FUX328226 GET327913:GET328226 GOP327913:GOP328226 GYL327913:GYL328226 HIH327913:HIH328226 HSD327913:HSD328226 IBZ327913:IBZ328226 ILV327913:ILV328226 IVR327913:IVR328226 JFN327913:JFN328226 JPJ327913:JPJ328226 JZF327913:JZF328226 KJB327913:KJB328226 KSX327913:KSX328226 LCT327913:LCT328226 LMP327913:LMP328226 LWL327913:LWL328226 MGH327913:MGH328226 MQD327913:MQD328226 MZZ327913:MZZ328226 NJV327913:NJV328226 NTR327913:NTR328226 ODN327913:ODN328226 ONJ327913:ONJ328226 OXF327913:OXF328226 PHB327913:PHB328226 PQX327913:PQX328226 QAT327913:QAT328226 QKP327913:QKP328226 QUL327913:QUL328226 REH327913:REH328226 ROD327913:ROD328226 RXZ327913:RXZ328226 SHV327913:SHV328226 SRR327913:SRR328226 TBN327913:TBN328226 TLJ327913:TLJ328226 TVF327913:TVF328226 UFB327913:UFB328226 UOX327913:UOX328226 UYT327913:UYT328226 VIP327913:VIP328226 VSL327913:VSL328226 WCH327913:WCH328226 WMD327913:WMD328226 WVZ327913:WVZ328226 JN393449:JN393762 TJ393449:TJ393762 ADF393449:ADF393762 ANB393449:ANB393762 AWX393449:AWX393762 BGT393449:BGT393762 BQP393449:BQP393762 CAL393449:CAL393762 CKH393449:CKH393762 CUD393449:CUD393762 DDZ393449:DDZ393762 DNV393449:DNV393762 DXR393449:DXR393762 EHN393449:EHN393762 ERJ393449:ERJ393762 FBF393449:FBF393762 FLB393449:FLB393762 FUX393449:FUX393762 GET393449:GET393762 GOP393449:GOP393762 GYL393449:GYL393762 HIH393449:HIH393762 HSD393449:HSD393762 IBZ393449:IBZ393762 ILV393449:ILV393762 IVR393449:IVR393762 JFN393449:JFN393762 JPJ393449:JPJ393762 JZF393449:JZF393762 KJB393449:KJB393762 KSX393449:KSX393762 LCT393449:LCT393762 LMP393449:LMP393762 LWL393449:LWL393762 MGH393449:MGH393762 MQD393449:MQD393762 MZZ393449:MZZ393762 NJV393449:NJV393762 NTR393449:NTR393762 ODN393449:ODN393762 ONJ393449:ONJ393762 OXF393449:OXF393762 PHB393449:PHB393762 PQX393449:PQX393762 QAT393449:QAT393762 QKP393449:QKP393762 QUL393449:QUL393762 REH393449:REH393762 ROD393449:ROD393762 RXZ393449:RXZ393762 SHV393449:SHV393762 SRR393449:SRR393762 TBN393449:TBN393762 TLJ393449:TLJ393762 TVF393449:TVF393762 UFB393449:UFB393762 UOX393449:UOX393762 UYT393449:UYT393762 VIP393449:VIP393762 VSL393449:VSL393762 WCH393449:WCH393762 WMD393449:WMD393762 WVZ393449:WVZ393762 JN458985:JN459298 TJ458985:TJ459298 ADF458985:ADF459298 ANB458985:ANB459298 AWX458985:AWX459298 BGT458985:BGT459298 BQP458985:BQP459298 CAL458985:CAL459298 CKH458985:CKH459298 CUD458985:CUD459298 DDZ458985:DDZ459298 DNV458985:DNV459298 DXR458985:DXR459298 EHN458985:EHN459298 ERJ458985:ERJ459298 FBF458985:FBF459298 FLB458985:FLB459298 FUX458985:FUX459298 GET458985:GET459298 GOP458985:GOP459298 GYL458985:GYL459298 HIH458985:HIH459298 HSD458985:HSD459298 IBZ458985:IBZ459298 ILV458985:ILV459298 IVR458985:IVR459298 JFN458985:JFN459298 JPJ458985:JPJ459298 JZF458985:JZF459298 KJB458985:KJB459298 KSX458985:KSX459298 LCT458985:LCT459298 LMP458985:LMP459298 LWL458985:LWL459298 MGH458985:MGH459298 MQD458985:MQD459298 MZZ458985:MZZ459298 NJV458985:NJV459298 NTR458985:NTR459298 ODN458985:ODN459298 ONJ458985:ONJ459298 OXF458985:OXF459298 PHB458985:PHB459298 PQX458985:PQX459298 QAT458985:QAT459298 QKP458985:QKP459298 QUL458985:QUL459298 REH458985:REH459298 ROD458985:ROD459298 RXZ458985:RXZ459298 SHV458985:SHV459298 SRR458985:SRR459298 TBN458985:TBN459298 TLJ458985:TLJ459298 TVF458985:TVF459298 UFB458985:UFB459298 UOX458985:UOX459298 UYT458985:UYT459298 VIP458985:VIP459298 VSL458985:VSL459298 WCH458985:WCH459298 WMD458985:WMD459298 WVZ458985:WVZ459298 JN524521:JN524834 TJ524521:TJ524834 ADF524521:ADF524834 ANB524521:ANB524834 AWX524521:AWX524834 BGT524521:BGT524834 BQP524521:BQP524834 CAL524521:CAL524834 CKH524521:CKH524834 CUD524521:CUD524834 DDZ524521:DDZ524834 DNV524521:DNV524834 DXR524521:DXR524834 EHN524521:EHN524834 ERJ524521:ERJ524834 FBF524521:FBF524834 FLB524521:FLB524834 FUX524521:FUX524834 GET524521:GET524834 GOP524521:GOP524834 GYL524521:GYL524834 HIH524521:HIH524834 HSD524521:HSD524834 IBZ524521:IBZ524834 ILV524521:ILV524834 IVR524521:IVR524834 JFN524521:JFN524834 JPJ524521:JPJ524834 JZF524521:JZF524834 KJB524521:KJB524834 KSX524521:KSX524834 LCT524521:LCT524834 LMP524521:LMP524834 LWL524521:LWL524834 MGH524521:MGH524834 MQD524521:MQD524834 MZZ524521:MZZ524834 NJV524521:NJV524834 NTR524521:NTR524834 ODN524521:ODN524834 ONJ524521:ONJ524834 OXF524521:OXF524834 PHB524521:PHB524834 PQX524521:PQX524834 QAT524521:QAT524834 QKP524521:QKP524834 QUL524521:QUL524834 REH524521:REH524834 ROD524521:ROD524834 RXZ524521:RXZ524834 SHV524521:SHV524834 SRR524521:SRR524834 TBN524521:TBN524834 TLJ524521:TLJ524834 TVF524521:TVF524834 UFB524521:UFB524834 UOX524521:UOX524834 UYT524521:UYT524834 VIP524521:VIP524834 VSL524521:VSL524834 WCH524521:WCH524834 WMD524521:WMD524834 WVZ524521:WVZ524834 JN590057:JN590370 TJ590057:TJ590370 ADF590057:ADF590370 ANB590057:ANB590370 AWX590057:AWX590370 BGT590057:BGT590370 BQP590057:BQP590370 CAL590057:CAL590370 CKH590057:CKH590370 CUD590057:CUD590370 DDZ590057:DDZ590370 DNV590057:DNV590370 DXR590057:DXR590370 EHN590057:EHN590370 ERJ590057:ERJ590370 FBF590057:FBF590370 FLB590057:FLB590370 FUX590057:FUX590370 GET590057:GET590370 GOP590057:GOP590370 GYL590057:GYL590370 HIH590057:HIH590370 HSD590057:HSD590370 IBZ590057:IBZ590370 ILV590057:ILV590370 IVR590057:IVR590370 JFN590057:JFN590370 JPJ590057:JPJ590370 JZF590057:JZF590370 KJB590057:KJB590370 KSX590057:KSX590370 LCT590057:LCT590370 LMP590057:LMP590370 LWL590057:LWL590370 MGH590057:MGH590370 MQD590057:MQD590370 MZZ590057:MZZ590370 NJV590057:NJV590370 NTR590057:NTR590370 ODN590057:ODN590370 ONJ590057:ONJ590370 OXF590057:OXF590370 PHB590057:PHB590370 PQX590057:PQX590370 QAT590057:QAT590370 QKP590057:QKP590370 QUL590057:QUL590370 REH590057:REH590370 ROD590057:ROD590370 RXZ590057:RXZ590370 SHV590057:SHV590370 SRR590057:SRR590370 TBN590057:TBN590370 TLJ590057:TLJ590370 TVF590057:TVF590370 UFB590057:UFB590370 UOX590057:UOX590370 UYT590057:UYT590370 VIP590057:VIP590370 VSL590057:VSL590370 WCH590057:WCH590370 WMD590057:WMD590370 WVZ590057:WVZ590370 JN655593:JN655906 TJ655593:TJ655906 ADF655593:ADF655906 ANB655593:ANB655906 AWX655593:AWX655906 BGT655593:BGT655906 BQP655593:BQP655906 CAL655593:CAL655906 CKH655593:CKH655906 CUD655593:CUD655906 DDZ655593:DDZ655906 DNV655593:DNV655906 DXR655593:DXR655906 EHN655593:EHN655906 ERJ655593:ERJ655906 FBF655593:FBF655906 FLB655593:FLB655906 FUX655593:FUX655906 GET655593:GET655906 GOP655593:GOP655906 GYL655593:GYL655906 HIH655593:HIH655906 HSD655593:HSD655906 IBZ655593:IBZ655906 ILV655593:ILV655906 IVR655593:IVR655906 JFN655593:JFN655906 JPJ655593:JPJ655906 JZF655593:JZF655906 KJB655593:KJB655906 KSX655593:KSX655906 LCT655593:LCT655906 LMP655593:LMP655906 LWL655593:LWL655906 MGH655593:MGH655906 MQD655593:MQD655906 MZZ655593:MZZ655906 NJV655593:NJV655906 NTR655593:NTR655906 ODN655593:ODN655906 ONJ655593:ONJ655906 OXF655593:OXF655906 PHB655593:PHB655906 PQX655593:PQX655906 QAT655593:QAT655906 QKP655593:QKP655906 QUL655593:QUL655906 REH655593:REH655906 ROD655593:ROD655906 RXZ655593:RXZ655906 SHV655593:SHV655906 SRR655593:SRR655906 TBN655593:TBN655906 TLJ655593:TLJ655906 TVF655593:TVF655906 UFB655593:UFB655906 UOX655593:UOX655906 UYT655593:UYT655906 VIP655593:VIP655906 VSL655593:VSL655906 WCH655593:WCH655906 WMD655593:WMD655906 WVZ655593:WVZ655906 JN721129:JN721442 TJ721129:TJ721442 ADF721129:ADF721442 ANB721129:ANB721442 AWX721129:AWX721442 BGT721129:BGT721442 BQP721129:BQP721442 CAL721129:CAL721442 CKH721129:CKH721442 CUD721129:CUD721442 DDZ721129:DDZ721442 DNV721129:DNV721442 DXR721129:DXR721442 EHN721129:EHN721442 ERJ721129:ERJ721442 FBF721129:FBF721442 FLB721129:FLB721442 FUX721129:FUX721442 GET721129:GET721442 GOP721129:GOP721442 GYL721129:GYL721442 HIH721129:HIH721442 HSD721129:HSD721442 IBZ721129:IBZ721442 ILV721129:ILV721442 IVR721129:IVR721442 JFN721129:JFN721442 JPJ721129:JPJ721442 JZF721129:JZF721442 KJB721129:KJB721442 KSX721129:KSX721442 LCT721129:LCT721442 LMP721129:LMP721442 LWL721129:LWL721442 MGH721129:MGH721442 MQD721129:MQD721442 MZZ721129:MZZ721442 NJV721129:NJV721442 NTR721129:NTR721442 ODN721129:ODN721442 ONJ721129:ONJ721442 OXF721129:OXF721442 PHB721129:PHB721442 PQX721129:PQX721442 QAT721129:QAT721442 QKP721129:QKP721442 QUL721129:QUL721442 REH721129:REH721442 ROD721129:ROD721442 RXZ721129:RXZ721442 SHV721129:SHV721442 SRR721129:SRR721442 TBN721129:TBN721442 TLJ721129:TLJ721442 TVF721129:TVF721442 UFB721129:UFB721442 UOX721129:UOX721442 UYT721129:UYT721442 VIP721129:VIP721442 VSL721129:VSL721442 WCH721129:WCH721442 WMD721129:WMD721442 WVZ721129:WVZ721442 JN786665:JN786978 TJ786665:TJ786978 ADF786665:ADF786978 ANB786665:ANB786978 AWX786665:AWX786978 BGT786665:BGT786978 BQP786665:BQP786978 CAL786665:CAL786978 CKH786665:CKH786978 CUD786665:CUD786978 DDZ786665:DDZ786978 DNV786665:DNV786978 DXR786665:DXR786978 EHN786665:EHN786978 ERJ786665:ERJ786978 FBF786665:FBF786978 FLB786665:FLB786978 FUX786665:FUX786978 GET786665:GET786978 GOP786665:GOP786978 GYL786665:GYL786978 HIH786665:HIH786978 HSD786665:HSD786978 IBZ786665:IBZ786978 ILV786665:ILV786978 IVR786665:IVR786978 JFN786665:JFN786978 JPJ786665:JPJ786978 JZF786665:JZF786978 KJB786665:KJB786978 KSX786665:KSX786978 LCT786665:LCT786978 LMP786665:LMP786978 LWL786665:LWL786978 MGH786665:MGH786978 MQD786665:MQD786978 MZZ786665:MZZ786978 NJV786665:NJV786978 NTR786665:NTR786978 ODN786665:ODN786978 ONJ786665:ONJ786978 OXF786665:OXF786978 PHB786665:PHB786978 PQX786665:PQX786978 QAT786665:QAT786978 QKP786665:QKP786978 QUL786665:QUL786978 REH786665:REH786978 ROD786665:ROD786978 RXZ786665:RXZ786978 SHV786665:SHV786978 SRR786665:SRR786978 TBN786665:TBN786978 TLJ786665:TLJ786978 TVF786665:TVF786978 UFB786665:UFB786978 UOX786665:UOX786978 UYT786665:UYT786978 VIP786665:VIP786978 VSL786665:VSL786978 WCH786665:WCH786978 WMD786665:WMD786978 WVZ786665:WVZ786978 JN852201:JN852514 TJ852201:TJ852514 ADF852201:ADF852514 ANB852201:ANB852514 AWX852201:AWX852514 BGT852201:BGT852514 BQP852201:BQP852514 CAL852201:CAL852514 CKH852201:CKH852514 CUD852201:CUD852514 DDZ852201:DDZ852514 DNV852201:DNV852514 DXR852201:DXR852514 EHN852201:EHN852514 ERJ852201:ERJ852514 FBF852201:FBF852514 FLB852201:FLB852514 FUX852201:FUX852514 GET852201:GET852514 GOP852201:GOP852514 GYL852201:GYL852514 HIH852201:HIH852514 HSD852201:HSD852514 IBZ852201:IBZ852514 ILV852201:ILV852514 IVR852201:IVR852514 JFN852201:JFN852514 JPJ852201:JPJ852514 JZF852201:JZF852514 KJB852201:KJB852514 KSX852201:KSX852514 LCT852201:LCT852514 LMP852201:LMP852514 LWL852201:LWL852514 MGH852201:MGH852514 MQD852201:MQD852514 MZZ852201:MZZ852514 NJV852201:NJV852514 NTR852201:NTR852514 ODN852201:ODN852514 ONJ852201:ONJ852514 OXF852201:OXF852514 PHB852201:PHB852514 PQX852201:PQX852514 QAT852201:QAT852514 QKP852201:QKP852514 QUL852201:QUL852514 REH852201:REH852514 ROD852201:ROD852514 RXZ852201:RXZ852514 SHV852201:SHV852514 SRR852201:SRR852514 TBN852201:TBN852514 TLJ852201:TLJ852514 TVF852201:TVF852514 UFB852201:UFB852514 UOX852201:UOX852514 UYT852201:UYT852514 VIP852201:VIP852514 VSL852201:VSL852514 WCH852201:WCH852514 WMD852201:WMD852514 WVZ852201:WVZ852514 JN917737:JN918050 TJ917737:TJ918050 ADF917737:ADF918050 ANB917737:ANB918050 AWX917737:AWX918050 BGT917737:BGT918050 BQP917737:BQP918050 CAL917737:CAL918050 CKH917737:CKH918050 CUD917737:CUD918050 DDZ917737:DDZ918050 DNV917737:DNV918050 DXR917737:DXR918050 EHN917737:EHN918050 ERJ917737:ERJ918050 FBF917737:FBF918050 FLB917737:FLB918050 FUX917737:FUX918050 GET917737:GET918050 GOP917737:GOP918050 GYL917737:GYL918050 HIH917737:HIH918050 HSD917737:HSD918050 IBZ917737:IBZ918050 ILV917737:ILV918050 IVR917737:IVR918050 JFN917737:JFN918050 JPJ917737:JPJ918050 JZF917737:JZF918050 KJB917737:KJB918050 KSX917737:KSX918050 LCT917737:LCT918050 LMP917737:LMP918050 LWL917737:LWL918050 MGH917737:MGH918050 MQD917737:MQD918050 MZZ917737:MZZ918050 NJV917737:NJV918050 NTR917737:NTR918050 ODN917737:ODN918050 ONJ917737:ONJ918050 OXF917737:OXF918050 PHB917737:PHB918050 PQX917737:PQX918050 QAT917737:QAT918050 QKP917737:QKP918050 QUL917737:QUL918050 REH917737:REH918050 ROD917737:ROD918050 RXZ917737:RXZ918050 SHV917737:SHV918050 SRR917737:SRR918050 TBN917737:TBN918050 TLJ917737:TLJ918050 TVF917737:TVF918050 UFB917737:UFB918050 UOX917737:UOX918050 UYT917737:UYT918050 VIP917737:VIP918050 VSL917737:VSL918050 WCH917737:WCH918050 WMD917737:WMD918050 WVZ917737:WVZ918050 JN983273:JN983586 TJ983273:TJ983586 ADF983273:ADF983586 ANB983273:ANB983586 AWX983273:AWX983586 BGT983273:BGT983586 BQP983273:BQP983586 CAL983273:CAL983586 CKH983273:CKH983586 CUD983273:CUD983586 DDZ983273:DDZ983586 DNV983273:DNV983586 DXR983273:DXR983586 EHN983273:EHN983586 ERJ983273:ERJ983586 FBF983273:FBF983586 FLB983273:FLB983586 FUX983273:FUX983586 GET983273:GET983586 GOP983273:GOP983586 GYL983273:GYL983586 HIH983273:HIH983586 HSD983273:HSD983586 IBZ983273:IBZ983586 ILV983273:ILV983586 IVR983273:IVR983586 JFN983273:JFN983586 JPJ983273:JPJ983586 JZF983273:JZF983586 KJB983273:KJB983586 KSX983273:KSX983586 LCT983273:LCT983586 LMP983273:LMP983586 LWL983273:LWL983586 MGH983273:MGH983586 MQD983273:MQD983586 MZZ983273:MZZ983586 NJV983273:NJV983586 NTR983273:NTR983586 ODN983273:ODN983586 ONJ983273:ONJ983586 OXF983273:OXF983586 PHB983273:PHB983586 PQX983273:PQX983586 QAT983273:QAT983586 QKP983273:QKP983586 QUL983273:QUL983586 REH983273:REH983586 ROD983273:ROD983586 RXZ983273:RXZ983586 SHV983273:SHV983586 SRR983273:SRR983586 TBN983273:TBN983586 TLJ983273:TLJ983586 TVF983273:TVF983586 UFB983273:UFB983586 UOX983273:UOX983586 UYT983273:UYT983586 VIP983273:VIP983586 VSL983273:VSL983586 WCH983273:WCH983586 WMD983273:WMD983586 JM337:JM451 JN452:JN546 TI337:TI451 TJ452:TJ546 ADE337:ADE451 ADF452:ADF546 ANA337:ANA451 ANB452:ANB546 AWW337:AWW451 AWX452:AWX546 BGS337:BGS451 BGT452:BGT546 BQO337:BQO451 BQP452:BQP546 CAK337:CAK451 CAL452:CAL546 CKG337:CKG451 CKH452:CKH546 CUC337:CUC451 CUD452:CUD546 DDY337:DDY451 DDZ452:DDZ546 DNU337:DNU451 DNV452:DNV546 DXQ337:DXQ451 DXR452:DXR546 EHM337:EHM451 EHN452:EHN546 ERI337:ERI451 ERJ452:ERJ546 FBE337:FBE451 FBF452:FBF546 FLA337:FLA451 FLB452:FLB546 FUW337:FUW451 FUX452:FUX546 GES337:GES451 GET452:GET546 GOO337:GOO451 GOP452:GOP546 GYK337:GYK451 GYL452:GYL546 HIG337:HIG451 HIH452:HIH546 HSC337:HSC451 HSD452:HSD546 IBY337:IBY451 IBZ452:IBZ546 ILU337:ILU451 ILV452:ILV546 IVQ337:IVQ451 IVR452:IVR546 JFM337:JFM451 JFN452:JFN546 JPI337:JPI451 JPJ452:JPJ546 JZE337:JZE451 JZF452:JZF546 KJA337:KJA451 KJB452:KJB546 KSW337:KSW451 KSX452:KSX546 LCS337:LCS451 LCT452:LCT546 LMO337:LMO451 LMP452:LMP546 LWK337:LWK451 LWL452:LWL546 MGG337:MGG451 MGH452:MGH546 MQC337:MQC451 MQD452:MQD546 MZY337:MZY451 MZZ452:MZZ546 NJU337:NJU451 NJV452:NJV546 NTQ337:NTQ451 NTR452:NTR546 ODM337:ODM451 ODN452:ODN546 ONI337:ONI451 ONJ452:ONJ546 OXE337:OXE451 OXF452:OXF546 PHA337:PHA451 PHB452:PHB546 PQW337:PQW451 PQX452:PQX546 QAS337:QAS451 QAT452:QAT546 QKO337:QKO451 QKP452:QKP546 QUK337:QUK451 QUL452:QUL546 REG337:REG451 REH452:REH546 ROC337:ROC451 ROD452:ROD546 RXY337:RXY451 RXZ452:RXZ546 SHU337:SHU451 SHV452:SHV546 SRQ337:SRQ451 SRR452:SRR546 TBM337:TBM451 TBN452:TBN546 TLI337:TLI451 TLJ452:TLJ546 TVE337:TVE451 TVF452:TVF546 UFA337:UFA451 UFB452:UFB546 UOW337:UOW451 UOX452:UOX546 UYS337:UYS451 UYT452:UYT546 VIO337:VIO451 VIP452:VIP546 VSK337:VSK451 VSL452:VSL546 WCG337:WCG451 WCH452:WCH546 WMC337:WMC451 WMD452:WMD546 WVY337:WVY451 WVZ452:WVZ546">
      <formula1>0</formula1>
      <formula2>2</formula2>
    </dataValidation>
    <dataValidation type="whole" allowBlank="1" showInputMessage="1" showErrorMessage="1" sqref="REF982961:REF983286 JK25:JK350 TG25:TG350 ADC25:ADC350 AMY25:AMY350 AWU25:AWU350 BGQ25:BGQ350 BQM25:BQM350 CAI25:CAI350 CKE25:CKE350 CUA25:CUA350 DDW25:DDW350 DNS25:DNS350 DXO25:DXO350 EHK25:EHK350 ERG25:ERG350 FBC25:FBC350 FKY25:FKY350 FUU25:FUU350 GEQ25:GEQ350 GOM25:GOM350 GYI25:GYI350 HIE25:HIE350 HSA25:HSA350 IBW25:IBW350 ILS25:ILS350 IVO25:IVO350 JFK25:JFK350 JPG25:JPG350 JZC25:JZC350 KIY25:KIY350 KSU25:KSU350 LCQ25:LCQ350 LMM25:LMM350 LWI25:LWI350 MGE25:MGE350 MQA25:MQA350 MZW25:MZW350 NJS25:NJS350 NTO25:NTO350 ODK25:ODK350 ONG25:ONG350 OXC25:OXC350 PGY25:PGY350 PQU25:PQU350 QAQ25:QAQ350 QKM25:QKM350 QUI25:QUI350 REE25:REE350 ROA25:ROA350 RXW25:RXW350 SHS25:SHS350 SRO25:SRO350 TBK25:TBK350 TLG25:TLG350 TVC25:TVC350 UEY25:UEY350 UOU25:UOU350 UYQ25:UYQ350 VIM25:VIM350 VSI25:VSI350 WCE25:WCE350 WMA25:WMA350 WVW25:WVW350 ROB982961:ROB983286 JL65457:JL65782 TH65457:TH65782 ADD65457:ADD65782 AMZ65457:AMZ65782 AWV65457:AWV65782 BGR65457:BGR65782 BQN65457:BQN65782 CAJ65457:CAJ65782 CKF65457:CKF65782 CUB65457:CUB65782 DDX65457:DDX65782 DNT65457:DNT65782 DXP65457:DXP65782 EHL65457:EHL65782 ERH65457:ERH65782 FBD65457:FBD65782 FKZ65457:FKZ65782 FUV65457:FUV65782 GER65457:GER65782 GON65457:GON65782 GYJ65457:GYJ65782 HIF65457:HIF65782 HSB65457:HSB65782 IBX65457:IBX65782 ILT65457:ILT65782 IVP65457:IVP65782 JFL65457:JFL65782 JPH65457:JPH65782 JZD65457:JZD65782 KIZ65457:KIZ65782 KSV65457:KSV65782 LCR65457:LCR65782 LMN65457:LMN65782 LWJ65457:LWJ65782 MGF65457:MGF65782 MQB65457:MQB65782 MZX65457:MZX65782 NJT65457:NJT65782 NTP65457:NTP65782 ODL65457:ODL65782 ONH65457:ONH65782 OXD65457:OXD65782 PGZ65457:PGZ65782 PQV65457:PQV65782 QAR65457:QAR65782 QKN65457:QKN65782 QUJ65457:QUJ65782 REF65457:REF65782 ROB65457:ROB65782 RXX65457:RXX65782 SHT65457:SHT65782 SRP65457:SRP65782 TBL65457:TBL65782 TLH65457:TLH65782 TVD65457:TVD65782 UEZ65457:UEZ65782 UOV65457:UOV65782 UYR65457:UYR65782 VIN65457:VIN65782 VSJ65457:VSJ65782 WCF65457:WCF65782 WMB65457:WMB65782 WVX65457:WVX65782 RXX982961:RXX983286 JL130993:JL131318 TH130993:TH131318 ADD130993:ADD131318 AMZ130993:AMZ131318 AWV130993:AWV131318 BGR130993:BGR131318 BQN130993:BQN131318 CAJ130993:CAJ131318 CKF130993:CKF131318 CUB130993:CUB131318 DDX130993:DDX131318 DNT130993:DNT131318 DXP130993:DXP131318 EHL130993:EHL131318 ERH130993:ERH131318 FBD130993:FBD131318 FKZ130993:FKZ131318 FUV130993:FUV131318 GER130993:GER131318 GON130993:GON131318 GYJ130993:GYJ131318 HIF130993:HIF131318 HSB130993:HSB131318 IBX130993:IBX131318 ILT130993:ILT131318 IVP130993:IVP131318 JFL130993:JFL131318 JPH130993:JPH131318 JZD130993:JZD131318 KIZ130993:KIZ131318 KSV130993:KSV131318 LCR130993:LCR131318 LMN130993:LMN131318 LWJ130993:LWJ131318 MGF130993:MGF131318 MQB130993:MQB131318 MZX130993:MZX131318 NJT130993:NJT131318 NTP130993:NTP131318 ODL130993:ODL131318 ONH130993:ONH131318 OXD130993:OXD131318 PGZ130993:PGZ131318 PQV130993:PQV131318 QAR130993:QAR131318 QKN130993:QKN131318 QUJ130993:QUJ131318 REF130993:REF131318 ROB130993:ROB131318 RXX130993:RXX131318 SHT130993:SHT131318 SRP130993:SRP131318 TBL130993:TBL131318 TLH130993:TLH131318 TVD130993:TVD131318 UEZ130993:UEZ131318 UOV130993:UOV131318 UYR130993:UYR131318 VIN130993:VIN131318 VSJ130993:VSJ131318 WCF130993:WCF131318 WMB130993:WMB131318 WVX130993:WVX131318 SHT982961:SHT983286 JL196529:JL196854 TH196529:TH196854 ADD196529:ADD196854 AMZ196529:AMZ196854 AWV196529:AWV196854 BGR196529:BGR196854 BQN196529:BQN196854 CAJ196529:CAJ196854 CKF196529:CKF196854 CUB196529:CUB196854 DDX196529:DDX196854 DNT196529:DNT196854 DXP196529:DXP196854 EHL196529:EHL196854 ERH196529:ERH196854 FBD196529:FBD196854 FKZ196529:FKZ196854 FUV196529:FUV196854 GER196529:GER196854 GON196529:GON196854 GYJ196529:GYJ196854 HIF196529:HIF196854 HSB196529:HSB196854 IBX196529:IBX196854 ILT196529:ILT196854 IVP196529:IVP196854 JFL196529:JFL196854 JPH196529:JPH196854 JZD196529:JZD196854 KIZ196529:KIZ196854 KSV196529:KSV196854 LCR196529:LCR196854 LMN196529:LMN196854 LWJ196529:LWJ196854 MGF196529:MGF196854 MQB196529:MQB196854 MZX196529:MZX196854 NJT196529:NJT196854 NTP196529:NTP196854 ODL196529:ODL196854 ONH196529:ONH196854 OXD196529:OXD196854 PGZ196529:PGZ196854 PQV196529:PQV196854 QAR196529:QAR196854 QKN196529:QKN196854 QUJ196529:QUJ196854 REF196529:REF196854 ROB196529:ROB196854 RXX196529:RXX196854 SHT196529:SHT196854 SRP196529:SRP196854 TBL196529:TBL196854 TLH196529:TLH196854 TVD196529:TVD196854 UEZ196529:UEZ196854 UOV196529:UOV196854 UYR196529:UYR196854 VIN196529:VIN196854 VSJ196529:VSJ196854 WCF196529:WCF196854 WMB196529:WMB196854 WVX196529:WVX196854 SRP982961:SRP983286 JL262065:JL262390 TH262065:TH262390 ADD262065:ADD262390 AMZ262065:AMZ262390 AWV262065:AWV262390 BGR262065:BGR262390 BQN262065:BQN262390 CAJ262065:CAJ262390 CKF262065:CKF262390 CUB262065:CUB262390 DDX262065:DDX262390 DNT262065:DNT262390 DXP262065:DXP262390 EHL262065:EHL262390 ERH262065:ERH262390 FBD262065:FBD262390 FKZ262065:FKZ262390 FUV262065:FUV262390 GER262065:GER262390 GON262065:GON262390 GYJ262065:GYJ262390 HIF262065:HIF262390 HSB262065:HSB262390 IBX262065:IBX262390 ILT262065:ILT262390 IVP262065:IVP262390 JFL262065:JFL262390 JPH262065:JPH262390 JZD262065:JZD262390 KIZ262065:KIZ262390 KSV262065:KSV262390 LCR262065:LCR262390 LMN262065:LMN262390 LWJ262065:LWJ262390 MGF262065:MGF262390 MQB262065:MQB262390 MZX262065:MZX262390 NJT262065:NJT262390 NTP262065:NTP262390 ODL262065:ODL262390 ONH262065:ONH262390 OXD262065:OXD262390 PGZ262065:PGZ262390 PQV262065:PQV262390 QAR262065:QAR262390 QKN262065:QKN262390 QUJ262065:QUJ262390 REF262065:REF262390 ROB262065:ROB262390 RXX262065:RXX262390 SHT262065:SHT262390 SRP262065:SRP262390 TBL262065:TBL262390 TLH262065:TLH262390 TVD262065:TVD262390 UEZ262065:UEZ262390 UOV262065:UOV262390 UYR262065:UYR262390 VIN262065:VIN262390 VSJ262065:VSJ262390 WCF262065:WCF262390 WMB262065:WMB262390 WVX262065:WVX262390 TBL982961:TBL983286 JL327601:JL327926 TH327601:TH327926 ADD327601:ADD327926 AMZ327601:AMZ327926 AWV327601:AWV327926 BGR327601:BGR327926 BQN327601:BQN327926 CAJ327601:CAJ327926 CKF327601:CKF327926 CUB327601:CUB327926 DDX327601:DDX327926 DNT327601:DNT327926 DXP327601:DXP327926 EHL327601:EHL327926 ERH327601:ERH327926 FBD327601:FBD327926 FKZ327601:FKZ327926 FUV327601:FUV327926 GER327601:GER327926 GON327601:GON327926 GYJ327601:GYJ327926 HIF327601:HIF327926 HSB327601:HSB327926 IBX327601:IBX327926 ILT327601:ILT327926 IVP327601:IVP327926 JFL327601:JFL327926 JPH327601:JPH327926 JZD327601:JZD327926 KIZ327601:KIZ327926 KSV327601:KSV327926 LCR327601:LCR327926 LMN327601:LMN327926 LWJ327601:LWJ327926 MGF327601:MGF327926 MQB327601:MQB327926 MZX327601:MZX327926 NJT327601:NJT327926 NTP327601:NTP327926 ODL327601:ODL327926 ONH327601:ONH327926 OXD327601:OXD327926 PGZ327601:PGZ327926 PQV327601:PQV327926 QAR327601:QAR327926 QKN327601:QKN327926 QUJ327601:QUJ327926 REF327601:REF327926 ROB327601:ROB327926 RXX327601:RXX327926 SHT327601:SHT327926 SRP327601:SRP327926 TBL327601:TBL327926 TLH327601:TLH327926 TVD327601:TVD327926 UEZ327601:UEZ327926 UOV327601:UOV327926 UYR327601:UYR327926 VIN327601:VIN327926 VSJ327601:VSJ327926 WCF327601:WCF327926 WMB327601:WMB327926 WVX327601:WVX327926 TLH982961:TLH983286 JL393137:JL393462 TH393137:TH393462 ADD393137:ADD393462 AMZ393137:AMZ393462 AWV393137:AWV393462 BGR393137:BGR393462 BQN393137:BQN393462 CAJ393137:CAJ393462 CKF393137:CKF393462 CUB393137:CUB393462 DDX393137:DDX393462 DNT393137:DNT393462 DXP393137:DXP393462 EHL393137:EHL393462 ERH393137:ERH393462 FBD393137:FBD393462 FKZ393137:FKZ393462 FUV393137:FUV393462 GER393137:GER393462 GON393137:GON393462 GYJ393137:GYJ393462 HIF393137:HIF393462 HSB393137:HSB393462 IBX393137:IBX393462 ILT393137:ILT393462 IVP393137:IVP393462 JFL393137:JFL393462 JPH393137:JPH393462 JZD393137:JZD393462 KIZ393137:KIZ393462 KSV393137:KSV393462 LCR393137:LCR393462 LMN393137:LMN393462 LWJ393137:LWJ393462 MGF393137:MGF393462 MQB393137:MQB393462 MZX393137:MZX393462 NJT393137:NJT393462 NTP393137:NTP393462 ODL393137:ODL393462 ONH393137:ONH393462 OXD393137:OXD393462 PGZ393137:PGZ393462 PQV393137:PQV393462 QAR393137:QAR393462 QKN393137:QKN393462 QUJ393137:QUJ393462 REF393137:REF393462 ROB393137:ROB393462 RXX393137:RXX393462 SHT393137:SHT393462 SRP393137:SRP393462 TBL393137:TBL393462 TLH393137:TLH393462 TVD393137:TVD393462 UEZ393137:UEZ393462 UOV393137:UOV393462 UYR393137:UYR393462 VIN393137:VIN393462 VSJ393137:VSJ393462 WCF393137:WCF393462 WMB393137:WMB393462 WVX393137:WVX393462 TVD982961:TVD983286 JL458673:JL458998 TH458673:TH458998 ADD458673:ADD458998 AMZ458673:AMZ458998 AWV458673:AWV458998 BGR458673:BGR458998 BQN458673:BQN458998 CAJ458673:CAJ458998 CKF458673:CKF458998 CUB458673:CUB458998 DDX458673:DDX458998 DNT458673:DNT458998 DXP458673:DXP458998 EHL458673:EHL458998 ERH458673:ERH458998 FBD458673:FBD458998 FKZ458673:FKZ458998 FUV458673:FUV458998 GER458673:GER458998 GON458673:GON458998 GYJ458673:GYJ458998 HIF458673:HIF458998 HSB458673:HSB458998 IBX458673:IBX458998 ILT458673:ILT458998 IVP458673:IVP458998 JFL458673:JFL458998 JPH458673:JPH458998 JZD458673:JZD458998 KIZ458673:KIZ458998 KSV458673:KSV458998 LCR458673:LCR458998 LMN458673:LMN458998 LWJ458673:LWJ458998 MGF458673:MGF458998 MQB458673:MQB458998 MZX458673:MZX458998 NJT458673:NJT458998 NTP458673:NTP458998 ODL458673:ODL458998 ONH458673:ONH458998 OXD458673:OXD458998 PGZ458673:PGZ458998 PQV458673:PQV458998 QAR458673:QAR458998 QKN458673:QKN458998 QUJ458673:QUJ458998 REF458673:REF458998 ROB458673:ROB458998 RXX458673:RXX458998 SHT458673:SHT458998 SRP458673:SRP458998 TBL458673:TBL458998 TLH458673:TLH458998 TVD458673:TVD458998 UEZ458673:UEZ458998 UOV458673:UOV458998 UYR458673:UYR458998 VIN458673:VIN458998 VSJ458673:VSJ458998 WCF458673:WCF458998 WMB458673:WMB458998 WVX458673:WVX458998 UEZ982961:UEZ983286 JL524209:JL524534 TH524209:TH524534 ADD524209:ADD524534 AMZ524209:AMZ524534 AWV524209:AWV524534 BGR524209:BGR524534 BQN524209:BQN524534 CAJ524209:CAJ524534 CKF524209:CKF524534 CUB524209:CUB524534 DDX524209:DDX524534 DNT524209:DNT524534 DXP524209:DXP524534 EHL524209:EHL524534 ERH524209:ERH524534 FBD524209:FBD524534 FKZ524209:FKZ524534 FUV524209:FUV524534 GER524209:GER524534 GON524209:GON524534 GYJ524209:GYJ524534 HIF524209:HIF524534 HSB524209:HSB524534 IBX524209:IBX524534 ILT524209:ILT524534 IVP524209:IVP524534 JFL524209:JFL524534 JPH524209:JPH524534 JZD524209:JZD524534 KIZ524209:KIZ524534 KSV524209:KSV524534 LCR524209:LCR524534 LMN524209:LMN524534 LWJ524209:LWJ524534 MGF524209:MGF524534 MQB524209:MQB524534 MZX524209:MZX524534 NJT524209:NJT524534 NTP524209:NTP524534 ODL524209:ODL524534 ONH524209:ONH524534 OXD524209:OXD524534 PGZ524209:PGZ524534 PQV524209:PQV524534 QAR524209:QAR524534 QKN524209:QKN524534 QUJ524209:QUJ524534 REF524209:REF524534 ROB524209:ROB524534 RXX524209:RXX524534 SHT524209:SHT524534 SRP524209:SRP524534 TBL524209:TBL524534 TLH524209:TLH524534 TVD524209:TVD524534 UEZ524209:UEZ524534 UOV524209:UOV524534 UYR524209:UYR524534 VIN524209:VIN524534 VSJ524209:VSJ524534 WCF524209:WCF524534 WMB524209:WMB524534 WVX524209:WVX524534 UOV982961:UOV983286 JL589745:JL590070 TH589745:TH590070 ADD589745:ADD590070 AMZ589745:AMZ590070 AWV589745:AWV590070 BGR589745:BGR590070 BQN589745:BQN590070 CAJ589745:CAJ590070 CKF589745:CKF590070 CUB589745:CUB590070 DDX589745:DDX590070 DNT589745:DNT590070 DXP589745:DXP590070 EHL589745:EHL590070 ERH589745:ERH590070 FBD589745:FBD590070 FKZ589745:FKZ590070 FUV589745:FUV590070 GER589745:GER590070 GON589745:GON590070 GYJ589745:GYJ590070 HIF589745:HIF590070 HSB589745:HSB590070 IBX589745:IBX590070 ILT589745:ILT590070 IVP589745:IVP590070 JFL589745:JFL590070 JPH589745:JPH590070 JZD589745:JZD590070 KIZ589745:KIZ590070 KSV589745:KSV590070 LCR589745:LCR590070 LMN589745:LMN590070 LWJ589745:LWJ590070 MGF589745:MGF590070 MQB589745:MQB590070 MZX589745:MZX590070 NJT589745:NJT590070 NTP589745:NTP590070 ODL589745:ODL590070 ONH589745:ONH590070 OXD589745:OXD590070 PGZ589745:PGZ590070 PQV589745:PQV590070 QAR589745:QAR590070 QKN589745:QKN590070 QUJ589745:QUJ590070 REF589745:REF590070 ROB589745:ROB590070 RXX589745:RXX590070 SHT589745:SHT590070 SRP589745:SRP590070 TBL589745:TBL590070 TLH589745:TLH590070 TVD589745:TVD590070 UEZ589745:UEZ590070 UOV589745:UOV590070 UYR589745:UYR590070 VIN589745:VIN590070 VSJ589745:VSJ590070 WCF589745:WCF590070 WMB589745:WMB590070 WVX589745:WVX590070 UYR982961:UYR983286 JL655281:JL655606 TH655281:TH655606 ADD655281:ADD655606 AMZ655281:AMZ655606 AWV655281:AWV655606 BGR655281:BGR655606 BQN655281:BQN655606 CAJ655281:CAJ655606 CKF655281:CKF655606 CUB655281:CUB655606 DDX655281:DDX655606 DNT655281:DNT655606 DXP655281:DXP655606 EHL655281:EHL655606 ERH655281:ERH655606 FBD655281:FBD655606 FKZ655281:FKZ655606 FUV655281:FUV655606 GER655281:GER655606 GON655281:GON655606 GYJ655281:GYJ655606 HIF655281:HIF655606 HSB655281:HSB655606 IBX655281:IBX655606 ILT655281:ILT655606 IVP655281:IVP655606 JFL655281:JFL655606 JPH655281:JPH655606 JZD655281:JZD655606 KIZ655281:KIZ655606 KSV655281:KSV655606 LCR655281:LCR655606 LMN655281:LMN655606 LWJ655281:LWJ655606 MGF655281:MGF655606 MQB655281:MQB655606 MZX655281:MZX655606 NJT655281:NJT655606 NTP655281:NTP655606 ODL655281:ODL655606 ONH655281:ONH655606 OXD655281:OXD655606 PGZ655281:PGZ655606 PQV655281:PQV655606 QAR655281:QAR655606 QKN655281:QKN655606 QUJ655281:QUJ655606 REF655281:REF655606 ROB655281:ROB655606 RXX655281:RXX655606 SHT655281:SHT655606 SRP655281:SRP655606 TBL655281:TBL655606 TLH655281:TLH655606 TVD655281:TVD655606 UEZ655281:UEZ655606 UOV655281:UOV655606 UYR655281:UYR655606 VIN655281:VIN655606 VSJ655281:VSJ655606 WCF655281:WCF655606 WMB655281:WMB655606 WVX655281:WVX655606 VIN982961:VIN983286 JL720817:JL721142 TH720817:TH721142 ADD720817:ADD721142 AMZ720817:AMZ721142 AWV720817:AWV721142 BGR720817:BGR721142 BQN720817:BQN721142 CAJ720817:CAJ721142 CKF720817:CKF721142 CUB720817:CUB721142 DDX720817:DDX721142 DNT720817:DNT721142 DXP720817:DXP721142 EHL720817:EHL721142 ERH720817:ERH721142 FBD720817:FBD721142 FKZ720817:FKZ721142 FUV720817:FUV721142 GER720817:GER721142 GON720817:GON721142 GYJ720817:GYJ721142 HIF720817:HIF721142 HSB720817:HSB721142 IBX720817:IBX721142 ILT720817:ILT721142 IVP720817:IVP721142 JFL720817:JFL721142 JPH720817:JPH721142 JZD720817:JZD721142 KIZ720817:KIZ721142 KSV720817:KSV721142 LCR720817:LCR721142 LMN720817:LMN721142 LWJ720817:LWJ721142 MGF720817:MGF721142 MQB720817:MQB721142 MZX720817:MZX721142 NJT720817:NJT721142 NTP720817:NTP721142 ODL720817:ODL721142 ONH720817:ONH721142 OXD720817:OXD721142 PGZ720817:PGZ721142 PQV720817:PQV721142 QAR720817:QAR721142 QKN720817:QKN721142 QUJ720817:QUJ721142 REF720817:REF721142 ROB720817:ROB721142 RXX720817:RXX721142 SHT720817:SHT721142 SRP720817:SRP721142 TBL720817:TBL721142 TLH720817:TLH721142 TVD720817:TVD721142 UEZ720817:UEZ721142 UOV720817:UOV721142 UYR720817:UYR721142 VIN720817:VIN721142 VSJ720817:VSJ721142 WCF720817:WCF721142 WMB720817:WMB721142 WVX720817:WVX721142 VSJ982961:VSJ983286 JL786353:JL786678 TH786353:TH786678 ADD786353:ADD786678 AMZ786353:AMZ786678 AWV786353:AWV786678 BGR786353:BGR786678 BQN786353:BQN786678 CAJ786353:CAJ786678 CKF786353:CKF786678 CUB786353:CUB786678 DDX786353:DDX786678 DNT786353:DNT786678 DXP786353:DXP786678 EHL786353:EHL786678 ERH786353:ERH786678 FBD786353:FBD786678 FKZ786353:FKZ786678 FUV786353:FUV786678 GER786353:GER786678 GON786353:GON786678 GYJ786353:GYJ786678 HIF786353:HIF786678 HSB786353:HSB786678 IBX786353:IBX786678 ILT786353:ILT786678 IVP786353:IVP786678 JFL786353:JFL786678 JPH786353:JPH786678 JZD786353:JZD786678 KIZ786353:KIZ786678 KSV786353:KSV786678 LCR786353:LCR786678 LMN786353:LMN786678 LWJ786353:LWJ786678 MGF786353:MGF786678 MQB786353:MQB786678 MZX786353:MZX786678 NJT786353:NJT786678 NTP786353:NTP786678 ODL786353:ODL786678 ONH786353:ONH786678 OXD786353:OXD786678 PGZ786353:PGZ786678 PQV786353:PQV786678 QAR786353:QAR786678 QKN786353:QKN786678 QUJ786353:QUJ786678 REF786353:REF786678 ROB786353:ROB786678 RXX786353:RXX786678 SHT786353:SHT786678 SRP786353:SRP786678 TBL786353:TBL786678 TLH786353:TLH786678 TVD786353:TVD786678 UEZ786353:UEZ786678 UOV786353:UOV786678 UYR786353:UYR786678 VIN786353:VIN786678 VSJ786353:VSJ786678 WCF786353:WCF786678 WMB786353:WMB786678 WVX786353:WVX786678 WCF982961:WCF983286 JL851889:JL852214 TH851889:TH852214 ADD851889:ADD852214 AMZ851889:AMZ852214 AWV851889:AWV852214 BGR851889:BGR852214 BQN851889:BQN852214 CAJ851889:CAJ852214 CKF851889:CKF852214 CUB851889:CUB852214 DDX851889:DDX852214 DNT851889:DNT852214 DXP851889:DXP852214 EHL851889:EHL852214 ERH851889:ERH852214 FBD851889:FBD852214 FKZ851889:FKZ852214 FUV851889:FUV852214 GER851889:GER852214 GON851889:GON852214 GYJ851889:GYJ852214 HIF851889:HIF852214 HSB851889:HSB852214 IBX851889:IBX852214 ILT851889:ILT852214 IVP851889:IVP852214 JFL851889:JFL852214 JPH851889:JPH852214 JZD851889:JZD852214 KIZ851889:KIZ852214 KSV851889:KSV852214 LCR851889:LCR852214 LMN851889:LMN852214 LWJ851889:LWJ852214 MGF851889:MGF852214 MQB851889:MQB852214 MZX851889:MZX852214 NJT851889:NJT852214 NTP851889:NTP852214 ODL851889:ODL852214 ONH851889:ONH852214 OXD851889:OXD852214 PGZ851889:PGZ852214 PQV851889:PQV852214 QAR851889:QAR852214 QKN851889:QKN852214 QUJ851889:QUJ852214 REF851889:REF852214 ROB851889:ROB852214 RXX851889:RXX852214 SHT851889:SHT852214 SRP851889:SRP852214 TBL851889:TBL852214 TLH851889:TLH852214 TVD851889:TVD852214 UEZ851889:UEZ852214 UOV851889:UOV852214 UYR851889:UYR852214 VIN851889:VIN852214 VSJ851889:VSJ852214 WCF851889:WCF852214 WMB851889:WMB852214 WVX851889:WVX852214 WMB982961:WMB983286 JL917425:JL917750 TH917425:TH917750 ADD917425:ADD917750 AMZ917425:AMZ917750 AWV917425:AWV917750 BGR917425:BGR917750 BQN917425:BQN917750 CAJ917425:CAJ917750 CKF917425:CKF917750 CUB917425:CUB917750 DDX917425:DDX917750 DNT917425:DNT917750 DXP917425:DXP917750 EHL917425:EHL917750 ERH917425:ERH917750 FBD917425:FBD917750 FKZ917425:FKZ917750 FUV917425:FUV917750 GER917425:GER917750 GON917425:GON917750 GYJ917425:GYJ917750 HIF917425:HIF917750 HSB917425:HSB917750 IBX917425:IBX917750 ILT917425:ILT917750 IVP917425:IVP917750 JFL917425:JFL917750 JPH917425:JPH917750 JZD917425:JZD917750 KIZ917425:KIZ917750 KSV917425:KSV917750 LCR917425:LCR917750 LMN917425:LMN917750 LWJ917425:LWJ917750 MGF917425:MGF917750 MQB917425:MQB917750 MZX917425:MZX917750 NJT917425:NJT917750 NTP917425:NTP917750 ODL917425:ODL917750 ONH917425:ONH917750 OXD917425:OXD917750 PGZ917425:PGZ917750 PQV917425:PQV917750 QAR917425:QAR917750 QKN917425:QKN917750 QUJ917425:QUJ917750 REF917425:REF917750 ROB917425:ROB917750 RXX917425:RXX917750 SHT917425:SHT917750 SRP917425:SRP917750 TBL917425:TBL917750 TLH917425:TLH917750 TVD917425:TVD917750 UEZ917425:UEZ917750 UOV917425:UOV917750 UYR917425:UYR917750 VIN917425:VIN917750 VSJ917425:VSJ917750 WCF917425:WCF917750 WMB917425:WMB917750 WVX917425:WVX917750 WVX982961:WVX983286 JL982961:JL983286 TH982961:TH983286 ADD982961:ADD983286 AMZ982961:AMZ983286 AWV982961:AWV983286 BGR982961:BGR983286 BQN982961:BQN983286 CAJ982961:CAJ983286 CKF982961:CKF983286 CUB982961:CUB983286 DDX982961:DDX983286 DNT982961:DNT983286 DXP982961:DXP983286 EHL982961:EHL983286 ERH982961:ERH983286 FBD982961:FBD983286 FKZ982961:FKZ983286 FUV982961:FUV983286 GER982961:GER983286 GON982961:GON983286 GYJ982961:GYJ983286 HIF982961:HIF983286 HSB982961:HSB983286 IBX982961:IBX983286 ILT982961:ILT983286 IVP982961:IVP983286 JFL982961:JFL983286 JPH982961:JPH983286 JZD982961:JZD983286 KIZ982961:KIZ983286 KSV982961:KSV983286 LCR982961:LCR983286 LMN982961:LMN983286 LWJ982961:LWJ983286 MGF982961:MGF983286 MQB982961:MQB983286 MZX982961:MZX983286 NJT982961:NJT983286 NTP982961:NTP983286 ODL982961:ODL983286 ONH982961:ONH983286 OXD982961:OXD983286 PGZ982961:PGZ983286 PQV982961:PQV983286 QAR982961:QAR983286 QKN982961:QKN983286 QUJ982961:QUJ983286">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2" operator="containsText" id="{31D9DA35-9D3F-4C56-A381-96EBEE2A7F84}">
            <xm:f>NOT(ISERROR(SEARCH($D$11,D11)))</xm:f>
            <xm:f>$D$11</xm:f>
            <x14:dxf/>
          </x14:cfRule>
          <xm:sqref>D11:H12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'LISTAS PPTO'!$AW$12:$AW$13</xm:f>
          </x14:formula1>
          <xm:sqref>G25:G450</xm:sqref>
        </x14:dataValidation>
        <x14:dataValidation type="list" allowBlank="1" showInputMessage="1" showErrorMessage="1">
          <x14:formula1>
            <xm:f>'LISTAS PPTO'!$AW$15:$AW$19</xm:f>
          </x14:formula1>
          <xm:sqref>F25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R52"/>
  <sheetViews>
    <sheetView zoomScaleNormal="100" workbookViewId="0">
      <selection activeCell="A2" sqref="A2:A3"/>
    </sheetView>
  </sheetViews>
  <sheetFormatPr baseColWidth="10" defaultColWidth="11.42578125" defaultRowHeight="15" x14ac:dyDescent="0.25"/>
  <cols>
    <col min="1" max="1" width="38.140625" customWidth="1"/>
    <col min="2" max="2" width="28.140625" customWidth="1"/>
    <col min="3" max="4" width="17.7109375" hidden="1" customWidth="1"/>
    <col min="5" max="5" width="21.140625" customWidth="1"/>
    <col min="6" max="6" width="22.42578125" customWidth="1"/>
    <col min="7" max="7" width="29.140625" customWidth="1"/>
    <col min="8" max="8" width="21" customWidth="1"/>
    <col min="9" max="9" width="44.42578125" customWidth="1"/>
    <col min="10" max="10" width="24.28515625" customWidth="1"/>
    <col min="11" max="11" width="20.85546875" customWidth="1"/>
    <col min="12" max="12" width="19.5703125" customWidth="1"/>
    <col min="13" max="13" width="20.28515625" customWidth="1"/>
    <col min="14" max="15" width="18.28515625" customWidth="1"/>
    <col min="16" max="16" width="22.28515625" customWidth="1"/>
  </cols>
  <sheetData>
    <row r="2" spans="1:772" s="394" customFormat="1" ht="51" customHeight="1" x14ac:dyDescent="0.25">
      <c r="A2" s="2522"/>
      <c r="B2" s="2108" t="s">
        <v>1768</v>
      </c>
      <c r="C2" s="2109"/>
      <c r="D2" s="2109"/>
      <c r="E2" s="2109"/>
      <c r="F2" s="2109"/>
      <c r="G2" s="2109"/>
      <c r="H2" s="2109"/>
      <c r="I2" s="2109"/>
      <c r="J2" s="2109"/>
      <c r="K2" s="2109"/>
      <c r="L2" s="2110"/>
      <c r="M2" s="2524" t="s">
        <v>1690</v>
      </c>
      <c r="N2" s="2525"/>
      <c r="V2" s="840" t="s">
        <v>763</v>
      </c>
      <c r="ACR2" s="394" t="s">
        <v>1534</v>
      </c>
    </row>
    <row r="3" spans="1:772" ht="41.25" customHeight="1" x14ac:dyDescent="0.25">
      <c r="A3" s="2523"/>
      <c r="B3" s="2111"/>
      <c r="C3" s="2112"/>
      <c r="D3" s="2112"/>
      <c r="E3" s="2112"/>
      <c r="F3" s="2112"/>
      <c r="G3" s="2112"/>
      <c r="H3" s="2112"/>
      <c r="I3" s="2112"/>
      <c r="J3" s="2112"/>
      <c r="K3" s="2112"/>
      <c r="L3" s="2113"/>
      <c r="M3" s="2526" t="s">
        <v>1936</v>
      </c>
      <c r="N3" s="2527"/>
      <c r="ACR3" t="s">
        <v>1535</v>
      </c>
    </row>
    <row r="4" spans="1:772" ht="21" x14ac:dyDescent="0.35">
      <c r="A4" s="2528" t="s">
        <v>1681</v>
      </c>
      <c r="B4" s="2528"/>
      <c r="C4" s="2528"/>
      <c r="D4" s="2528"/>
      <c r="E4" s="2528"/>
      <c r="F4" s="2528"/>
      <c r="G4" s="2528"/>
      <c r="H4" s="2528"/>
      <c r="I4" s="841"/>
      <c r="J4" s="841"/>
      <c r="M4" s="841"/>
      <c r="ACR4" s="394" t="s">
        <v>1536</v>
      </c>
    </row>
    <row r="5" spans="1:772" x14ac:dyDescent="0.25">
      <c r="A5" s="842"/>
      <c r="B5" s="842"/>
      <c r="C5" s="842"/>
      <c r="D5" s="842"/>
      <c r="E5" s="842"/>
      <c r="F5" s="842"/>
      <c r="G5" s="842"/>
      <c r="H5" s="842"/>
      <c r="I5" s="841"/>
      <c r="J5" s="841"/>
      <c r="M5" s="841"/>
      <c r="ACR5" t="s">
        <v>1537</v>
      </c>
    </row>
    <row r="6" spans="1:772" s="302" customFormat="1" ht="32.25" customHeight="1" x14ac:dyDescent="0.35">
      <c r="A6" s="710" t="s">
        <v>0</v>
      </c>
      <c r="B6" s="2529" t="str">
        <f>+FENECIMIENTO!D4</f>
        <v xml:space="preserve">150000 - DIRECCIÓN SECTOR HACIENDA </v>
      </c>
      <c r="C6" s="2529"/>
      <c r="D6" s="2529"/>
      <c r="E6" s="2529"/>
      <c r="F6" s="2529"/>
      <c r="G6" s="605"/>
      <c r="H6" s="605"/>
      <c r="I6" s="804"/>
      <c r="J6" s="804"/>
      <c r="K6" s="804"/>
    </row>
    <row r="7" spans="1:772" s="302" customFormat="1" ht="43.9" customHeight="1" x14ac:dyDescent="0.35">
      <c r="A7" s="805" t="s">
        <v>1188</v>
      </c>
      <c r="B7" s="2530" t="str">
        <f>+FENECIMIENTO!D5</f>
        <v xml:space="preserve">206 - Fondo de Prestaciones Económicas, Cesantías y Pensiones – FONCEP </v>
      </c>
      <c r="C7" s="2531"/>
      <c r="D7" s="2531"/>
      <c r="E7" s="2531"/>
      <c r="F7" s="2531"/>
      <c r="H7" s="710" t="s">
        <v>2</v>
      </c>
      <c r="I7" s="904">
        <f>+FENECIMIENTO!K5</f>
        <v>2024</v>
      </c>
      <c r="J7" s="718"/>
      <c r="K7" s="712"/>
    </row>
    <row r="8" spans="1:772" s="302" customFormat="1" ht="19.899999999999999" customHeight="1" x14ac:dyDescent="0.35">
      <c r="A8" s="710" t="s">
        <v>1683</v>
      </c>
      <c r="B8" s="2532">
        <f>+FENECIMIENTO!D6</f>
        <v>2025</v>
      </c>
      <c r="C8" s="2532"/>
      <c r="D8" s="2532"/>
      <c r="E8" s="806"/>
      <c r="F8" s="807"/>
      <c r="H8" s="710" t="s">
        <v>3</v>
      </c>
      <c r="I8" s="903">
        <f>+FENECIMIENTO!K6</f>
        <v>87</v>
      </c>
      <c r="J8" s="718"/>
      <c r="K8" s="712"/>
      <c r="L8" s="808"/>
    </row>
    <row r="9" spans="1:772" s="302" customFormat="1" ht="24.6" customHeight="1" x14ac:dyDescent="0.35">
      <c r="A9" s="710" t="s">
        <v>4</v>
      </c>
      <c r="B9" s="2533">
        <f>+FENECIMIENTO!D7</f>
        <v>45693</v>
      </c>
      <c r="C9" s="2533"/>
      <c r="D9" s="2533"/>
      <c r="E9" s="2533"/>
      <c r="F9" s="2533"/>
      <c r="H9" s="1552" t="s">
        <v>1189</v>
      </c>
      <c r="I9" s="1092">
        <f>+FENECIMIENTO!K7</f>
        <v>45693</v>
      </c>
      <c r="J9" s="718"/>
      <c r="K9" s="718"/>
      <c r="L9" s="808"/>
    </row>
    <row r="10" spans="1:772" s="302" customFormat="1" ht="19.899999999999999" customHeight="1" thickBot="1" x14ac:dyDescent="0.4">
      <c r="B10" s="710"/>
      <c r="C10" s="1083"/>
      <c r="D10" s="1083"/>
      <c r="E10" s="1083"/>
      <c r="I10" s="711"/>
      <c r="J10" s="904"/>
      <c r="K10" s="718"/>
      <c r="L10" s="718"/>
      <c r="M10" s="808"/>
    </row>
    <row r="11" spans="1:772" ht="45.75" thickTop="1" x14ac:dyDescent="0.25">
      <c r="A11" s="843" t="s">
        <v>1538</v>
      </c>
      <c r="B11" s="843" t="s">
        <v>1539</v>
      </c>
      <c r="C11" s="843" t="s">
        <v>1540</v>
      </c>
      <c r="D11" s="843" t="s">
        <v>1541</v>
      </c>
      <c r="E11" s="843" t="s">
        <v>1014</v>
      </c>
      <c r="F11" s="843" t="s">
        <v>1015</v>
      </c>
      <c r="G11" s="843" t="s">
        <v>193</v>
      </c>
      <c r="H11" s="843" t="s">
        <v>195</v>
      </c>
      <c r="I11" s="2519" t="s">
        <v>1619</v>
      </c>
      <c r="J11" s="2520"/>
      <c r="K11" s="2520"/>
      <c r="L11" s="2520"/>
      <c r="M11" s="2521"/>
    </row>
    <row r="12" spans="1:772" ht="45" x14ac:dyDescent="0.25">
      <c r="A12" s="1667" t="s">
        <v>1542</v>
      </c>
      <c r="B12" s="844">
        <v>0.35</v>
      </c>
      <c r="C12" s="844">
        <f t="shared" ref="C12:D15" si="0">IF(ISNUMBER(G12),$B12,0)</f>
        <v>0.35</v>
      </c>
      <c r="D12" s="844">
        <f t="shared" si="0"/>
        <v>0.35</v>
      </c>
      <c r="E12" s="844">
        <f>IFERROR(C12/$C$16,"")</f>
        <v>0.35</v>
      </c>
      <c r="F12" s="844">
        <f>IFERROR(D12/$D$16,"")</f>
        <v>0.5</v>
      </c>
      <c r="G12" s="845">
        <f>IF(COUNTIF(I25:I36,"EFICACIA"),AVERAGEIF($I25:$I36,"EFICACIA",$L$25:$L$36),"")</f>
        <v>0.58426031746031748</v>
      </c>
      <c r="H12" s="845">
        <f>IF(COUNTIF(I25:I36,"EFICIENCIA"),AVERAGEIF($I25:$I36,"EFICIENCIA",$L$25:$L$36),"")</f>
        <v>0.97058823529411775</v>
      </c>
      <c r="I12" s="846" t="s">
        <v>1543</v>
      </c>
      <c r="J12" s="847" t="s">
        <v>171</v>
      </c>
      <c r="K12" s="847" t="s">
        <v>179</v>
      </c>
      <c r="L12" s="2506" t="s">
        <v>200</v>
      </c>
      <c r="M12" s="2507"/>
    </row>
    <row r="13" spans="1:772" ht="25.9" customHeight="1" x14ac:dyDescent="0.25">
      <c r="A13" s="1668" t="s">
        <v>1544</v>
      </c>
      <c r="B13" s="844">
        <v>0.35</v>
      </c>
      <c r="C13" s="844">
        <f t="shared" si="0"/>
        <v>0.35</v>
      </c>
      <c r="D13" s="844">
        <f t="shared" si="0"/>
        <v>0.35</v>
      </c>
      <c r="E13" s="844">
        <f>IFERROR(C13/$C$16,"")</f>
        <v>0.35</v>
      </c>
      <c r="F13" s="844">
        <f>IFERROR(D13/$D$16,"")</f>
        <v>0.5</v>
      </c>
      <c r="G13" s="845">
        <f>IF(COUNTIF(I25:I36,"EFICACIA"),AVERAGEIF($I37:$I41,"EFICACIA",$L$37:$L$41),"")</f>
        <v>0.875</v>
      </c>
      <c r="H13" s="845">
        <f>IF(COUNTIF(I37:I41,"EFICIENCIA"),AVERAGEIF($I37:$I41,"EFICIENCIA",$L$37:$L$41),"")</f>
        <v>1</v>
      </c>
      <c r="I13" s="848" t="s">
        <v>193</v>
      </c>
      <c r="J13" s="849" t="s">
        <v>1545</v>
      </c>
      <c r="K13" s="850">
        <f>G16</f>
        <v>0.78477482821637423</v>
      </c>
      <c r="L13" s="2508" t="str">
        <f>IF(K13="","",IF(K13&gt;=75%,"EFICAZ","INEFICAZ"))</f>
        <v>EFICAZ</v>
      </c>
      <c r="M13" s="2509"/>
    </row>
    <row r="14" spans="1:772" ht="25.9" customHeight="1" x14ac:dyDescent="0.25">
      <c r="A14" s="1668" t="s">
        <v>1546</v>
      </c>
      <c r="B14" s="844">
        <v>0.15</v>
      </c>
      <c r="C14" s="844">
        <f t="shared" si="0"/>
        <v>0.15</v>
      </c>
      <c r="D14" s="844">
        <f t="shared" si="0"/>
        <v>0</v>
      </c>
      <c r="E14" s="844">
        <f>IFERROR(C14/$C$16,"")</f>
        <v>0.15</v>
      </c>
      <c r="F14" s="844">
        <f>IFERROR(D14/$D$16,"")</f>
        <v>0</v>
      </c>
      <c r="G14" s="845">
        <f>IF(COUNTIF(I25:I36,"EFICACIA"),AVERAGEIF($I42:$I46,"EFICACIA",$L$42:$L$46),"")</f>
        <v>1</v>
      </c>
      <c r="H14" s="845" t="str">
        <f>IF(COUNTIF(I42:I46,"EFICIENCIA"),AVERAGEIF($I42:$I46,"EFICIENCIA",$L$42:$L$46),"")</f>
        <v/>
      </c>
      <c r="I14" s="851" t="s">
        <v>195</v>
      </c>
      <c r="J14" s="849" t="s">
        <v>1545</v>
      </c>
      <c r="K14" s="850">
        <f>+H16</f>
        <v>0.98529411764705888</v>
      </c>
      <c r="L14" s="2510" t="str">
        <f>IF(K14="","",IF(K14&gt;=75%,"EFICIENTE","INEFICIENTE"))</f>
        <v>EFICIENTE</v>
      </c>
      <c r="M14" s="2511"/>
    </row>
    <row r="15" spans="1:772" ht="25.9" customHeight="1" x14ac:dyDescent="0.25">
      <c r="A15" s="1668" t="s">
        <v>1547</v>
      </c>
      <c r="B15" s="844">
        <v>0.15</v>
      </c>
      <c r="C15" s="844">
        <f t="shared" si="0"/>
        <v>0.15</v>
      </c>
      <c r="D15" s="844">
        <f t="shared" si="0"/>
        <v>0</v>
      </c>
      <c r="E15" s="844">
        <f>IFERROR(C15/$C$16,"")</f>
        <v>0.15</v>
      </c>
      <c r="F15" s="844">
        <f>IFERROR(D15/$D$16,"")</f>
        <v>0</v>
      </c>
      <c r="G15" s="845">
        <f>IF(COUNTIF(I25:I36,"EFICACIA"),AVERAGEIF($I47:$I52,"EFICACIA",$L$47:$L$52),"")</f>
        <v>0.82689144736842102</v>
      </c>
      <c r="H15" s="845" t="str">
        <f>IF(COUNTIF(I47:I52,"EFICIENCIA"),AVERAGEIF($I47:$I52,"EFICIENCIA",$L$47:$L$52),"")</f>
        <v/>
      </c>
    </row>
    <row r="16" spans="1:772" ht="15.75" thickBot="1" x14ac:dyDescent="0.3">
      <c r="A16" s="852" t="s">
        <v>1548</v>
      </c>
      <c r="B16" s="853">
        <v>1</v>
      </c>
      <c r="C16" s="853">
        <f>SUM(C12:C15)</f>
        <v>1</v>
      </c>
      <c r="D16" s="853">
        <f>SUM(D12:D15)</f>
        <v>0.7</v>
      </c>
      <c r="E16" s="853">
        <f>SUM(E12:E15)</f>
        <v>1</v>
      </c>
      <c r="F16" s="853">
        <f>SUM(F12:F15)</f>
        <v>1</v>
      </c>
      <c r="G16" s="854">
        <f>+SUMPRODUCT(E12:E15,G12:G15)</f>
        <v>0.78477482821637423</v>
      </c>
      <c r="H16" s="854">
        <f>+SUMPRODUCT(F12:F15,H12:H15)</f>
        <v>0.98529411764705888</v>
      </c>
      <c r="I16" s="841"/>
      <c r="J16" s="841"/>
    </row>
    <row r="17" spans="1:14" x14ac:dyDescent="0.25">
      <c r="A17" s="855" t="s">
        <v>195</v>
      </c>
      <c r="B17" s="856" t="s">
        <v>1025</v>
      </c>
      <c r="C17" s="857"/>
      <c r="D17" s="857"/>
      <c r="E17" s="858"/>
      <c r="F17" s="858"/>
      <c r="G17" s="858"/>
      <c r="H17" s="858"/>
      <c r="I17" s="2512" t="s">
        <v>1549</v>
      </c>
      <c r="J17" s="2513"/>
    </row>
    <row r="18" spans="1:14" x14ac:dyDescent="0.25">
      <c r="A18" s="859" t="s">
        <v>193</v>
      </c>
      <c r="B18" s="860" t="s">
        <v>1026</v>
      </c>
      <c r="C18" s="857"/>
      <c r="D18" s="857"/>
      <c r="E18" s="861"/>
      <c r="F18" s="861"/>
      <c r="G18" s="861"/>
      <c r="H18" s="862"/>
      <c r="I18" s="2514"/>
      <c r="J18" s="2515"/>
    </row>
    <row r="19" spans="1:14" ht="30.75" thickBot="1" x14ac:dyDescent="0.3">
      <c r="A19" s="863" t="s">
        <v>1550</v>
      </c>
      <c r="B19" s="864"/>
      <c r="C19" s="865"/>
      <c r="D19" s="865"/>
      <c r="E19" s="861"/>
      <c r="F19" s="861"/>
      <c r="G19" s="861"/>
      <c r="H19" s="862"/>
      <c r="I19" s="2514"/>
      <c r="J19" s="2515"/>
    </row>
    <row r="20" spans="1:14" ht="16.5" thickTop="1" x14ac:dyDescent="0.25">
      <c r="G20" s="866"/>
      <c r="H20" s="841"/>
      <c r="I20" s="2514"/>
      <c r="J20" s="2515"/>
    </row>
    <row r="21" spans="1:14" ht="15.75" thickBot="1" x14ac:dyDescent="0.3">
      <c r="A21" s="867"/>
      <c r="B21" s="841"/>
      <c r="C21" s="841"/>
      <c r="D21" s="841"/>
      <c r="E21" s="841"/>
      <c r="F21" s="841"/>
      <c r="G21" s="841"/>
      <c r="H21" s="841"/>
      <c r="I21" s="2514"/>
      <c r="J21" s="2515"/>
    </row>
    <row r="22" spans="1:14" ht="21.75" thickBot="1" x14ac:dyDescent="0.3">
      <c r="A22" s="2516" t="s">
        <v>1551</v>
      </c>
      <c r="B22" s="2517"/>
      <c r="C22" s="2517"/>
      <c r="D22" s="2517"/>
      <c r="E22" s="2517"/>
      <c r="F22" s="2517"/>
      <c r="G22" s="2517"/>
      <c r="H22" s="2517"/>
      <c r="I22" s="2517"/>
      <c r="J22" s="2517"/>
      <c r="K22" s="2517"/>
      <c r="L22" s="2517"/>
      <c r="M22" s="2517"/>
      <c r="N22" s="2518"/>
    </row>
    <row r="23" spans="1:14" ht="15.75" thickBot="1" x14ac:dyDescent="0.3">
      <c r="A23" s="868"/>
      <c r="B23" s="869"/>
      <c r="C23" s="869"/>
      <c r="D23" s="869"/>
      <c r="E23" s="869"/>
      <c r="F23" s="869"/>
      <c r="G23" s="869"/>
      <c r="H23" s="869"/>
      <c r="I23" s="869"/>
      <c r="J23" s="869"/>
      <c r="K23" s="841"/>
      <c r="L23" s="841"/>
      <c r="M23" s="841"/>
    </row>
    <row r="24" spans="1:14" ht="47.25" x14ac:dyDescent="0.25">
      <c r="A24" s="870" t="s">
        <v>1552</v>
      </c>
      <c r="B24" s="871" t="s">
        <v>1553</v>
      </c>
      <c r="C24" s="871"/>
      <c r="D24" s="871"/>
      <c r="E24" s="871" t="s">
        <v>1554</v>
      </c>
      <c r="F24" s="871" t="s">
        <v>1555</v>
      </c>
      <c r="G24" s="871" t="s">
        <v>1556</v>
      </c>
      <c r="H24" s="871" t="s">
        <v>1557</v>
      </c>
      <c r="I24" s="871" t="s">
        <v>209</v>
      </c>
      <c r="J24" s="871" t="s">
        <v>1558</v>
      </c>
      <c r="K24" s="871" t="s">
        <v>1559</v>
      </c>
      <c r="L24" s="871" t="s">
        <v>211</v>
      </c>
      <c r="M24" s="871" t="s">
        <v>1560</v>
      </c>
      <c r="N24" s="871" t="s">
        <v>1561</v>
      </c>
    </row>
    <row r="25" spans="1:14" x14ac:dyDescent="0.25">
      <c r="A25" s="2502" t="s">
        <v>1542</v>
      </c>
      <c r="B25" s="1482"/>
      <c r="C25" s="1482"/>
      <c r="D25" s="1482"/>
      <c r="E25" s="1483"/>
      <c r="F25" s="1483"/>
      <c r="G25" s="1484"/>
      <c r="H25" s="1485"/>
      <c r="I25" s="1486" t="s">
        <v>1535</v>
      </c>
      <c r="J25" s="1487">
        <v>1</v>
      </c>
      <c r="K25" s="1488">
        <v>0.98360000000000003</v>
      </c>
      <c r="L25" s="1669">
        <f>IFERROR(IF(K25/J25&gt;1,100%,K25/J25),"")</f>
        <v>0.98360000000000003</v>
      </c>
      <c r="M25" s="872"/>
      <c r="N25" s="872"/>
    </row>
    <row r="26" spans="1:14" ht="18" x14ac:dyDescent="0.25">
      <c r="A26" s="2503"/>
      <c r="B26" s="1489"/>
      <c r="C26" s="1489"/>
      <c r="D26" s="1489"/>
      <c r="E26" s="1483"/>
      <c r="F26" s="1483"/>
      <c r="G26" s="1484"/>
      <c r="H26" s="1485"/>
      <c r="I26" s="1486" t="s">
        <v>1535</v>
      </c>
      <c r="J26" s="1487">
        <v>0.4</v>
      </c>
      <c r="K26" s="1488">
        <v>0.35</v>
      </c>
      <c r="L26" s="1669">
        <f t="shared" ref="L26:L52" si="1">IFERROR(IF(K26/J26&gt;1,100%,K26/J26),"")</f>
        <v>0.87499999999999989</v>
      </c>
      <c r="M26" s="872"/>
      <c r="N26" s="872"/>
    </row>
    <row r="27" spans="1:14" ht="18" x14ac:dyDescent="0.25">
      <c r="A27" s="2503"/>
      <c r="B27" s="1489"/>
      <c r="C27" s="1489"/>
      <c r="D27" s="1489"/>
      <c r="E27" s="1483"/>
      <c r="F27" s="1483"/>
      <c r="G27" s="1484"/>
      <c r="H27" s="1485"/>
      <c r="I27" s="1486" t="s">
        <v>1535</v>
      </c>
      <c r="J27" s="1487">
        <v>0.5</v>
      </c>
      <c r="K27" s="1488">
        <v>0.45</v>
      </c>
      <c r="L27" s="1669">
        <f t="shared" si="1"/>
        <v>0.9</v>
      </c>
      <c r="M27" s="872"/>
      <c r="N27" s="872"/>
    </row>
    <row r="28" spans="1:14" ht="18" x14ac:dyDescent="0.25">
      <c r="A28" s="2503"/>
      <c r="B28" s="1489"/>
      <c r="C28" s="1489"/>
      <c r="D28" s="1489"/>
      <c r="E28" s="1483"/>
      <c r="F28" s="1483"/>
      <c r="G28" s="1484"/>
      <c r="H28" s="1485"/>
      <c r="I28" s="1486" t="s">
        <v>1536</v>
      </c>
      <c r="J28" s="1487">
        <v>0.85</v>
      </c>
      <c r="K28" s="1488">
        <v>0.8</v>
      </c>
      <c r="L28" s="1669">
        <f t="shared" si="1"/>
        <v>0.94117647058823539</v>
      </c>
      <c r="M28" s="872"/>
      <c r="N28" s="872"/>
    </row>
    <row r="29" spans="1:14" ht="18" x14ac:dyDescent="0.25">
      <c r="A29" s="2503"/>
      <c r="B29" s="1489"/>
      <c r="C29" s="1489"/>
      <c r="D29" s="1489"/>
      <c r="E29" s="1483"/>
      <c r="F29" s="1483"/>
      <c r="G29" s="1484"/>
      <c r="H29" s="1485"/>
      <c r="I29" s="1486" t="s">
        <v>1537</v>
      </c>
      <c r="J29" s="1487">
        <v>0.7</v>
      </c>
      <c r="K29" s="1488">
        <v>0.71</v>
      </c>
      <c r="L29" s="1669">
        <f t="shared" si="1"/>
        <v>1</v>
      </c>
      <c r="M29" s="872"/>
      <c r="N29" s="872"/>
    </row>
    <row r="30" spans="1:14" ht="18" x14ac:dyDescent="0.25">
      <c r="A30" s="2503"/>
      <c r="B30" s="1489"/>
      <c r="C30" s="1489"/>
      <c r="D30" s="1489"/>
      <c r="E30" s="1483"/>
      <c r="F30" s="1483"/>
      <c r="G30" s="1484"/>
      <c r="H30" s="1485"/>
      <c r="I30" s="1486" t="s">
        <v>1536</v>
      </c>
      <c r="J30" s="1487">
        <v>0.9</v>
      </c>
      <c r="K30" s="1488">
        <v>0.9</v>
      </c>
      <c r="L30" s="1669">
        <f t="shared" si="1"/>
        <v>1</v>
      </c>
      <c r="M30" s="872"/>
      <c r="N30" s="872"/>
    </row>
    <row r="31" spans="1:14" ht="18" x14ac:dyDescent="0.25">
      <c r="A31" s="2503"/>
      <c r="B31" s="1489"/>
      <c r="C31" s="1489"/>
      <c r="D31" s="1489"/>
      <c r="E31" s="1483"/>
      <c r="F31" s="1483"/>
      <c r="G31" s="1484"/>
      <c r="H31" s="1485"/>
      <c r="I31" s="1486" t="s">
        <v>1535</v>
      </c>
      <c r="J31" s="1487">
        <v>0.59</v>
      </c>
      <c r="K31" s="1488">
        <v>0.85</v>
      </c>
      <c r="L31" s="1669">
        <v>0.1</v>
      </c>
      <c r="M31" s="872"/>
      <c r="N31" s="872"/>
    </row>
    <row r="32" spans="1:14" ht="18" x14ac:dyDescent="0.25">
      <c r="A32" s="2503"/>
      <c r="B32" s="1489"/>
      <c r="C32" s="1489"/>
      <c r="D32" s="1489"/>
      <c r="E32" s="1483"/>
      <c r="F32" s="1483"/>
      <c r="G32" s="1484"/>
      <c r="H32" s="1485"/>
      <c r="I32" s="1486" t="s">
        <v>1535</v>
      </c>
      <c r="J32" s="1487">
        <v>50</v>
      </c>
      <c r="K32" s="1488">
        <v>0.45</v>
      </c>
      <c r="L32" s="1669">
        <f t="shared" si="1"/>
        <v>9.0000000000000011E-3</v>
      </c>
      <c r="M32" s="872"/>
      <c r="N32" s="872"/>
    </row>
    <row r="33" spans="1:14" ht="18" x14ac:dyDescent="0.25">
      <c r="A33" s="2503"/>
      <c r="B33" s="1489"/>
      <c r="C33" s="1489"/>
      <c r="D33" s="1489"/>
      <c r="E33" s="1483"/>
      <c r="F33" s="1483"/>
      <c r="G33" s="1484"/>
      <c r="H33" s="1485"/>
      <c r="I33" s="1486" t="s">
        <v>1537</v>
      </c>
      <c r="J33" s="1487">
        <v>0.8</v>
      </c>
      <c r="K33" s="1488">
        <v>0.15</v>
      </c>
      <c r="L33" s="1669">
        <f t="shared" si="1"/>
        <v>0.18749999999999997</v>
      </c>
      <c r="M33" s="872"/>
      <c r="N33" s="872"/>
    </row>
    <row r="34" spans="1:14" ht="18" x14ac:dyDescent="0.25">
      <c r="A34" s="2503"/>
      <c r="B34" s="1489"/>
      <c r="C34" s="1489"/>
      <c r="D34" s="1489"/>
      <c r="E34" s="1483"/>
      <c r="F34" s="1483"/>
      <c r="G34" s="1484"/>
      <c r="H34" s="1485"/>
      <c r="I34" s="1486" t="s">
        <v>1537</v>
      </c>
      <c r="J34" s="1487">
        <v>0.9</v>
      </c>
      <c r="K34" s="1488">
        <v>0.85</v>
      </c>
      <c r="L34" s="1669">
        <f t="shared" si="1"/>
        <v>0.94444444444444442</v>
      </c>
      <c r="M34" s="872"/>
      <c r="N34" s="872"/>
    </row>
    <row r="35" spans="1:14" ht="18" x14ac:dyDescent="0.25">
      <c r="A35" s="2503"/>
      <c r="B35" s="1489"/>
      <c r="C35" s="1489"/>
      <c r="D35" s="1489"/>
      <c r="E35" s="1483"/>
      <c r="F35" s="1483"/>
      <c r="G35" s="1484"/>
      <c r="H35" s="1485"/>
      <c r="I35" s="1486" t="s">
        <v>1535</v>
      </c>
      <c r="J35" s="1487">
        <v>0.9</v>
      </c>
      <c r="K35" s="1488">
        <v>0.2</v>
      </c>
      <c r="L35" s="1669">
        <f t="shared" si="1"/>
        <v>0.22222222222222224</v>
      </c>
      <c r="M35" s="872"/>
      <c r="N35" s="872"/>
    </row>
    <row r="36" spans="1:14" ht="18" x14ac:dyDescent="0.25">
      <c r="A36" s="2504"/>
      <c r="B36" s="1489"/>
      <c r="C36" s="1489"/>
      <c r="D36" s="1489"/>
      <c r="E36" s="1483"/>
      <c r="F36" s="1483"/>
      <c r="G36" s="1484"/>
      <c r="H36" s="1485"/>
      <c r="I36" s="1486" t="s">
        <v>1535</v>
      </c>
      <c r="J36" s="1487">
        <v>0.4</v>
      </c>
      <c r="K36" s="1488">
        <v>0.5</v>
      </c>
      <c r="L36" s="1669">
        <f t="shared" si="1"/>
        <v>1</v>
      </c>
      <c r="M36" s="872"/>
      <c r="N36" s="872"/>
    </row>
    <row r="37" spans="1:14" ht="18" x14ac:dyDescent="0.25">
      <c r="A37" s="2502" t="s">
        <v>1544</v>
      </c>
      <c r="B37" s="1489"/>
      <c r="C37" s="1489"/>
      <c r="D37" s="1489"/>
      <c r="E37" s="1483"/>
      <c r="F37" s="1483"/>
      <c r="G37" s="1484"/>
      <c r="H37" s="1490"/>
      <c r="I37" s="1486" t="s">
        <v>1535</v>
      </c>
      <c r="J37" s="1487">
        <v>0.4</v>
      </c>
      <c r="K37" s="1488">
        <v>0.5</v>
      </c>
      <c r="L37" s="1669">
        <f t="shared" si="1"/>
        <v>1</v>
      </c>
      <c r="M37" s="872"/>
      <c r="N37" s="872"/>
    </row>
    <row r="38" spans="1:14" ht="18" x14ac:dyDescent="0.25">
      <c r="A38" s="2503"/>
      <c r="B38" s="1489"/>
      <c r="C38" s="1489"/>
      <c r="D38" s="1489"/>
      <c r="E38" s="1483"/>
      <c r="F38" s="1483"/>
      <c r="G38" s="1484"/>
      <c r="H38" s="1490"/>
      <c r="I38" s="1486" t="s">
        <v>1536</v>
      </c>
      <c r="J38" s="1487">
        <v>0.4</v>
      </c>
      <c r="K38" s="1488">
        <v>0.5</v>
      </c>
      <c r="L38" s="1669">
        <f t="shared" si="1"/>
        <v>1</v>
      </c>
      <c r="M38" s="872"/>
      <c r="N38" s="872"/>
    </row>
    <row r="39" spans="1:14" ht="18" x14ac:dyDescent="0.25">
      <c r="A39" s="2503"/>
      <c r="B39" s="1489"/>
      <c r="C39" s="1489"/>
      <c r="D39" s="1489"/>
      <c r="E39" s="1483"/>
      <c r="F39" s="1483"/>
      <c r="G39" s="1484"/>
      <c r="H39" s="1490"/>
      <c r="I39" s="1486" t="s">
        <v>1535</v>
      </c>
      <c r="J39" s="1487">
        <v>0.8</v>
      </c>
      <c r="K39" s="1488">
        <v>0.5</v>
      </c>
      <c r="L39" s="1669">
        <f t="shared" si="1"/>
        <v>0.625</v>
      </c>
      <c r="M39" s="872"/>
      <c r="N39" s="872"/>
    </row>
    <row r="40" spans="1:14" ht="18" x14ac:dyDescent="0.25">
      <c r="A40" s="2503"/>
      <c r="B40" s="1489"/>
      <c r="C40" s="1489"/>
      <c r="D40" s="1489"/>
      <c r="E40" s="1483"/>
      <c r="F40" s="1483"/>
      <c r="G40" s="1484"/>
      <c r="H40" s="1490"/>
      <c r="I40" s="1486" t="s">
        <v>1535</v>
      </c>
      <c r="J40" s="1487">
        <v>0.5</v>
      </c>
      <c r="K40" s="1488">
        <v>0.5</v>
      </c>
      <c r="L40" s="1669">
        <f t="shared" si="1"/>
        <v>1</v>
      </c>
      <c r="M40" s="872"/>
      <c r="N40" s="872"/>
    </row>
    <row r="41" spans="1:14" ht="18" x14ac:dyDescent="0.25">
      <c r="A41" s="2504"/>
      <c r="B41" s="1489"/>
      <c r="C41" s="1489"/>
      <c r="D41" s="1489"/>
      <c r="E41" s="1483"/>
      <c r="F41" s="1483"/>
      <c r="G41" s="1484"/>
      <c r="H41" s="1490"/>
      <c r="I41" s="1486" t="s">
        <v>1536</v>
      </c>
      <c r="J41" s="1487"/>
      <c r="K41" s="1488"/>
      <c r="L41" s="1669" t="str">
        <f t="shared" si="1"/>
        <v/>
      </c>
      <c r="M41" s="872"/>
      <c r="N41" s="872"/>
    </row>
    <row r="42" spans="1:14" ht="18" x14ac:dyDescent="0.25">
      <c r="A42" s="2502" t="s">
        <v>1546</v>
      </c>
      <c r="B42" s="1489"/>
      <c r="C42" s="1489"/>
      <c r="D42" s="1489"/>
      <c r="E42" s="1483"/>
      <c r="F42" s="1483"/>
      <c r="G42" s="1483"/>
      <c r="H42" s="1483"/>
      <c r="I42" s="1486" t="s">
        <v>1535</v>
      </c>
      <c r="J42" s="1487">
        <v>0.4</v>
      </c>
      <c r="K42" s="1488">
        <v>0.5</v>
      </c>
      <c r="L42" s="1669">
        <f t="shared" si="1"/>
        <v>1</v>
      </c>
      <c r="M42" s="872"/>
      <c r="N42" s="872"/>
    </row>
    <row r="43" spans="1:14" ht="18" x14ac:dyDescent="0.25">
      <c r="A43" s="2503"/>
      <c r="B43" s="1489"/>
      <c r="C43" s="1489"/>
      <c r="D43" s="1489"/>
      <c r="E43" s="1483"/>
      <c r="F43" s="1483"/>
      <c r="G43" s="1483"/>
      <c r="H43" s="1483"/>
      <c r="I43" s="1486" t="s">
        <v>1537</v>
      </c>
      <c r="J43" s="1487">
        <v>0.4</v>
      </c>
      <c r="K43" s="1488">
        <v>0.3</v>
      </c>
      <c r="L43" s="1669">
        <f t="shared" si="1"/>
        <v>0.74999999999999989</v>
      </c>
      <c r="M43" s="872"/>
      <c r="N43" s="872"/>
    </row>
    <row r="44" spans="1:14" ht="18" x14ac:dyDescent="0.25">
      <c r="A44" s="2503"/>
      <c r="B44" s="1489"/>
      <c r="C44" s="1489"/>
      <c r="D44" s="1489"/>
      <c r="E44" s="1483"/>
      <c r="F44" s="1483"/>
      <c r="G44" s="1483"/>
      <c r="H44" s="1483"/>
      <c r="I44" s="1486" t="s">
        <v>1535</v>
      </c>
      <c r="J44" s="1487">
        <v>0.4</v>
      </c>
      <c r="K44" s="1488">
        <v>0.5</v>
      </c>
      <c r="L44" s="1669">
        <f t="shared" si="1"/>
        <v>1</v>
      </c>
      <c r="M44" s="872"/>
      <c r="N44" s="872"/>
    </row>
    <row r="45" spans="1:14" ht="18" x14ac:dyDescent="0.25">
      <c r="A45" s="2503"/>
      <c r="B45" s="1489"/>
      <c r="C45" s="1489"/>
      <c r="D45" s="1489"/>
      <c r="E45" s="1483"/>
      <c r="F45" s="1483"/>
      <c r="G45" s="1483"/>
      <c r="H45" s="1483"/>
      <c r="I45" s="1486" t="s">
        <v>1535</v>
      </c>
      <c r="J45" s="1487">
        <v>0.4</v>
      </c>
      <c r="K45" s="1488">
        <v>0.5</v>
      </c>
      <c r="L45" s="1669">
        <f t="shared" si="1"/>
        <v>1</v>
      </c>
      <c r="M45" s="872"/>
      <c r="N45" s="872"/>
    </row>
    <row r="46" spans="1:14" ht="18" x14ac:dyDescent="0.25">
      <c r="A46" s="2504"/>
      <c r="B46" s="1489"/>
      <c r="C46" s="1489"/>
      <c r="D46" s="1489"/>
      <c r="E46" s="1483"/>
      <c r="F46" s="1483"/>
      <c r="G46" s="1483"/>
      <c r="H46" s="1483"/>
      <c r="I46" s="1486" t="s">
        <v>1535</v>
      </c>
      <c r="J46" s="1487"/>
      <c r="K46" s="1488"/>
      <c r="L46" s="1669" t="str">
        <f t="shared" si="1"/>
        <v/>
      </c>
      <c r="M46" s="872"/>
      <c r="N46" s="872"/>
    </row>
    <row r="47" spans="1:14" ht="18" x14ac:dyDescent="0.25">
      <c r="A47" s="2505" t="s">
        <v>1547</v>
      </c>
      <c r="B47" s="1489"/>
      <c r="C47" s="1489"/>
      <c r="D47" s="1489"/>
      <c r="E47" s="1491"/>
      <c r="F47" s="1491"/>
      <c r="G47" s="1483"/>
      <c r="H47" s="1483"/>
      <c r="I47" s="1486" t="s">
        <v>1535</v>
      </c>
      <c r="J47" s="1487">
        <v>0.64</v>
      </c>
      <c r="K47" s="1488">
        <v>0.5</v>
      </c>
      <c r="L47" s="1669">
        <f t="shared" si="1"/>
        <v>0.78125</v>
      </c>
      <c r="M47" s="872"/>
      <c r="N47" s="872"/>
    </row>
    <row r="48" spans="1:14" ht="18" x14ac:dyDescent="0.25">
      <c r="A48" s="2505"/>
      <c r="B48" s="1489"/>
      <c r="C48" s="1489"/>
      <c r="D48" s="1489"/>
      <c r="E48" s="1491"/>
      <c r="F48" s="1491"/>
      <c r="G48" s="1491"/>
      <c r="H48" s="1491"/>
      <c r="I48" s="1486" t="s">
        <v>1537</v>
      </c>
      <c r="J48" s="1487">
        <v>0.4</v>
      </c>
      <c r="K48" s="1488">
        <v>0.5</v>
      </c>
      <c r="L48" s="1669">
        <f t="shared" si="1"/>
        <v>1</v>
      </c>
      <c r="M48" s="872"/>
      <c r="N48" s="872"/>
    </row>
    <row r="49" spans="1:14" ht="18" x14ac:dyDescent="0.25">
      <c r="A49" s="2505"/>
      <c r="B49" s="1489"/>
      <c r="C49" s="1489"/>
      <c r="D49" s="1489"/>
      <c r="E49" s="1483"/>
      <c r="F49" s="1483"/>
      <c r="G49" s="1483"/>
      <c r="H49" s="1483"/>
      <c r="I49" s="1486" t="s">
        <v>1535</v>
      </c>
      <c r="J49" s="1487">
        <v>0.4</v>
      </c>
      <c r="K49" s="1488">
        <v>0.5</v>
      </c>
      <c r="L49" s="1669">
        <f t="shared" si="1"/>
        <v>1</v>
      </c>
      <c r="M49" s="872"/>
      <c r="N49" s="872"/>
    </row>
    <row r="50" spans="1:14" ht="18" x14ac:dyDescent="0.25">
      <c r="A50" s="2505"/>
      <c r="B50" s="1489"/>
      <c r="C50" s="1489"/>
      <c r="D50" s="1489"/>
      <c r="E50" s="1483"/>
      <c r="F50" s="1483"/>
      <c r="G50" s="1483"/>
      <c r="H50" s="1483"/>
      <c r="I50" s="1486" t="s">
        <v>1535</v>
      </c>
      <c r="J50" s="1487">
        <v>0.95</v>
      </c>
      <c r="K50" s="1488">
        <v>0.5</v>
      </c>
      <c r="L50" s="1669">
        <f t="shared" si="1"/>
        <v>0.52631578947368418</v>
      </c>
      <c r="M50" s="872"/>
      <c r="N50" s="872"/>
    </row>
    <row r="51" spans="1:14" ht="18" x14ac:dyDescent="0.25">
      <c r="A51" s="2505"/>
      <c r="B51" s="1489"/>
      <c r="C51" s="1489"/>
      <c r="D51" s="1489"/>
      <c r="E51" s="1483"/>
      <c r="F51" s="1483"/>
      <c r="G51" s="1483"/>
      <c r="H51" s="1483"/>
      <c r="I51" s="1486" t="s">
        <v>1535</v>
      </c>
      <c r="J51" s="1487"/>
      <c r="K51" s="1488"/>
      <c r="L51" s="1669" t="str">
        <f t="shared" si="1"/>
        <v/>
      </c>
      <c r="M51" s="872"/>
      <c r="N51" s="872"/>
    </row>
    <row r="52" spans="1:14" ht="18" x14ac:dyDescent="0.25">
      <c r="A52" s="2505"/>
      <c r="B52" s="1489"/>
      <c r="C52" s="1489"/>
      <c r="D52" s="1489"/>
      <c r="E52" s="1483"/>
      <c r="F52" s="1483"/>
      <c r="G52" s="1483"/>
      <c r="H52" s="1483"/>
      <c r="I52" s="1486" t="s">
        <v>1535</v>
      </c>
      <c r="J52" s="1487">
        <v>0.4</v>
      </c>
      <c r="K52" s="1488">
        <v>0.5</v>
      </c>
      <c r="L52" s="1669">
        <f t="shared" si="1"/>
        <v>1</v>
      </c>
      <c r="M52" s="872"/>
      <c r="N52" s="872"/>
    </row>
  </sheetData>
  <sheetProtection formatColumns="0" insertRows="0"/>
  <mergeCells count="19">
    <mergeCell ref="I11:M11"/>
    <mergeCell ref="A2:A3"/>
    <mergeCell ref="B2:L3"/>
    <mergeCell ref="M2:N2"/>
    <mergeCell ref="M3:N3"/>
    <mergeCell ref="A4:H4"/>
    <mergeCell ref="B6:F6"/>
    <mergeCell ref="B7:F7"/>
    <mergeCell ref="B8:D8"/>
    <mergeCell ref="B9:F9"/>
    <mergeCell ref="A25:A36"/>
    <mergeCell ref="A37:A41"/>
    <mergeCell ref="A42:A46"/>
    <mergeCell ref="A47:A52"/>
    <mergeCell ref="L12:M12"/>
    <mergeCell ref="L13:M13"/>
    <mergeCell ref="L14:M14"/>
    <mergeCell ref="I17:J21"/>
    <mergeCell ref="A22:N22"/>
  </mergeCells>
  <conditionalFormatting sqref="B2">
    <cfRule type="cellIs" dxfId="107" priority="25" operator="equal">
      <formula>"ERROR"</formula>
    </cfRule>
  </conditionalFormatting>
  <conditionalFormatting sqref="I13:I14">
    <cfRule type="cellIs" dxfId="106" priority="11" stopIfTrue="1" operator="greaterThanOrEqual">
      <formula>1</formula>
    </cfRule>
    <cfRule type="cellIs" dxfId="105" priority="12" stopIfTrue="1" operator="equal">
      <formula>0</formula>
    </cfRule>
  </conditionalFormatting>
  <conditionalFormatting sqref="K13:K14">
    <cfRule type="cellIs" dxfId="104" priority="7" stopIfTrue="1" operator="greaterThanOrEqual">
      <formula>0.75</formula>
    </cfRule>
    <cfRule type="cellIs" dxfId="103" priority="8" stopIfTrue="1" operator="lessThan">
      <formula>0.75</formula>
    </cfRule>
  </conditionalFormatting>
  <conditionalFormatting sqref="L13">
    <cfRule type="containsText" dxfId="102" priority="3" operator="containsText" text="INEFICAZ">
      <formula>NOT(ISERROR(SEARCH("INEFICAZ",L13)))</formula>
    </cfRule>
    <cfRule type="containsText" dxfId="101" priority="4" operator="containsText" text="EFICAZ">
      <formula>NOT(ISERROR(SEARCH("EFICAZ",L13)))</formula>
    </cfRule>
  </conditionalFormatting>
  <conditionalFormatting sqref="L14">
    <cfRule type="containsText" dxfId="100" priority="5" operator="containsText" text="INEFICIENTE">
      <formula>NOT(ISERROR(SEARCH("INEFICIENTE",L14)))</formula>
    </cfRule>
    <cfRule type="containsText" dxfId="99" priority="6" operator="containsText" text="EFICIENTE">
      <formula>NOT(ISERROR(SEARCH("EFICIENTE",L14)))</formula>
    </cfRule>
  </conditionalFormatting>
  <conditionalFormatting sqref="M2:M3">
    <cfRule type="cellIs" dxfId="98" priority="15" operator="equal">
      <formula>"INEXISTENTE"</formula>
    </cfRule>
    <cfRule type="cellIs" dxfId="97" priority="16" operator="equal">
      <formula>"INADECUADO"</formula>
    </cfRule>
    <cfRule type="cellIs" dxfId="96" priority="17" operator="equal">
      <formula>"PARCIALMENTE ADECUADO"</formula>
    </cfRule>
    <cfRule type="cellIs" dxfId="95" priority="18" operator="equal">
      <formula>"ADECUADO"</formula>
    </cfRule>
    <cfRule type="cellIs" dxfId="94" priority="19" operator="equal">
      <formula>"ERROR"</formula>
    </cfRule>
  </conditionalFormatting>
  <dataValidations count="1">
    <dataValidation type="list" allowBlank="1" showInputMessage="1" showErrorMessage="1" sqref="I25:I52">
      <formula1>$ACR$3:$ACR$5</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201"/>
  <sheetViews>
    <sheetView zoomScaleNormal="100" workbookViewId="0">
      <selection activeCell="B1" sqref="B1:F1"/>
    </sheetView>
  </sheetViews>
  <sheetFormatPr baseColWidth="10" defaultColWidth="11.42578125" defaultRowHeight="14.25" x14ac:dyDescent="0.2"/>
  <cols>
    <col min="1" max="1" width="25.7109375" style="30" customWidth="1"/>
    <col min="2" max="2" width="27.85546875" style="30" customWidth="1"/>
    <col min="3" max="3" width="23.7109375" style="30" customWidth="1"/>
    <col min="4" max="4" width="25.85546875" style="30" customWidth="1"/>
    <col min="5" max="5" width="20.5703125" style="30" customWidth="1"/>
    <col min="6" max="6" width="24" style="30" customWidth="1"/>
    <col min="7" max="7" width="22" style="30" customWidth="1"/>
    <col min="8" max="8" width="23.42578125" style="29" customWidth="1"/>
    <col min="9" max="32" width="11.42578125" style="29"/>
    <col min="33" max="16384" width="11.42578125" style="30"/>
  </cols>
  <sheetData>
    <row r="1" spans="1:32" ht="86.25" customHeight="1" x14ac:dyDescent="0.2">
      <c r="A1" s="31"/>
      <c r="B1" s="2601" t="s">
        <v>1755</v>
      </c>
      <c r="C1" s="2602"/>
      <c r="D1" s="2602"/>
      <c r="E1" s="2602"/>
      <c r="F1" s="2603"/>
      <c r="G1" s="1213" t="s">
        <v>1938</v>
      </c>
      <c r="AF1" s="30"/>
    </row>
    <row r="2" spans="1:32" ht="18" x14ac:dyDescent="0.25">
      <c r="A2" s="2596"/>
      <c r="B2" s="2596"/>
      <c r="C2" s="2596"/>
      <c r="D2" s="2596"/>
      <c r="E2" s="2596"/>
      <c r="F2" s="2596"/>
      <c r="G2" s="2596"/>
    </row>
    <row r="3" spans="1:32" x14ac:dyDescent="0.2">
      <c r="A3" s="32" t="s">
        <v>0</v>
      </c>
      <c r="B3" s="2599" t="str">
        <f>+FENECIMIENTO!D4</f>
        <v xml:space="preserve">150000 - DIRECCIÓN SECTOR HACIENDA </v>
      </c>
      <c r="C3" s="2600"/>
      <c r="D3" s="2600"/>
      <c r="E3" s="2600"/>
      <c r="F3" s="32"/>
      <c r="G3" s="11"/>
    </row>
    <row r="4" spans="1:32" ht="33.6" customHeight="1" x14ac:dyDescent="0.2">
      <c r="A4" s="32" t="s">
        <v>1</v>
      </c>
      <c r="B4" s="2274" t="str">
        <f>+FENECIMIENTO!D5</f>
        <v xml:space="preserve">206 - Fondo de Prestaciones Económicas, Cesantías y Pensiones – FONCEP </v>
      </c>
      <c r="C4" s="2275"/>
      <c r="D4" s="2275"/>
      <c r="E4" s="2275"/>
      <c r="F4" s="34" t="s">
        <v>2</v>
      </c>
      <c r="G4" s="1492">
        <f>+FENECIMIENTO!K5</f>
        <v>2024</v>
      </c>
    </row>
    <row r="5" spans="1:32" x14ac:dyDescent="0.2">
      <c r="A5" s="1136" t="s">
        <v>1683</v>
      </c>
      <c r="B5" s="2586">
        <f>+FENECIMIENTO!D6</f>
        <v>2025</v>
      </c>
      <c r="C5" s="2586"/>
      <c r="D5" s="32"/>
      <c r="E5" s="32"/>
      <c r="F5" s="32" t="s">
        <v>3</v>
      </c>
      <c r="G5" s="1493">
        <f>+FENECIMIENTO!K6</f>
        <v>87</v>
      </c>
    </row>
    <row r="6" spans="1:32" x14ac:dyDescent="0.2">
      <c r="A6" s="32" t="s">
        <v>4</v>
      </c>
      <c r="B6" s="2587">
        <f>+FENECIMIENTO!D7</f>
        <v>45693</v>
      </c>
      <c r="C6" s="2588"/>
      <c r="D6" s="32"/>
      <c r="E6" s="11"/>
      <c r="F6" s="34" t="s">
        <v>5</v>
      </c>
      <c r="G6" s="1494">
        <f>+FENECIMIENTO!K7</f>
        <v>45693</v>
      </c>
    </row>
    <row r="7" spans="1:32" ht="15" thickBot="1" x14ac:dyDescent="0.25">
      <c r="A7" s="32"/>
      <c r="B7" s="32"/>
      <c r="C7" s="32"/>
      <c r="D7" s="32"/>
      <c r="E7" s="32"/>
      <c r="F7" s="32"/>
      <c r="G7" s="32"/>
    </row>
    <row r="8" spans="1:32" ht="15.75" customHeight="1" thickTop="1" thickBot="1" x14ac:dyDescent="0.25">
      <c r="A8" s="2589" t="s">
        <v>6</v>
      </c>
      <c r="B8" s="2589"/>
      <c r="C8" s="2589"/>
      <c r="D8" s="2589"/>
      <c r="E8" s="2589"/>
      <c r="F8" s="2589"/>
      <c r="G8" s="2589"/>
    </row>
    <row r="9" spans="1:32" ht="39.75" thickTop="1" thickBot="1" x14ac:dyDescent="0.25">
      <c r="A9" s="2590" t="s">
        <v>7</v>
      </c>
      <c r="B9" s="2591"/>
      <c r="C9" s="1495" t="s">
        <v>8</v>
      </c>
      <c r="D9" s="1495" t="s">
        <v>9</v>
      </c>
      <c r="E9" s="1495" t="s">
        <v>10</v>
      </c>
      <c r="F9" s="1495" t="s">
        <v>11</v>
      </c>
      <c r="G9" s="1496" t="s">
        <v>439</v>
      </c>
    </row>
    <row r="10" spans="1:32" ht="15" customHeight="1" thickTop="1" x14ac:dyDescent="0.2">
      <c r="A10" s="2597" t="s">
        <v>13</v>
      </c>
      <c r="B10" s="2598" t="s">
        <v>14</v>
      </c>
      <c r="C10" s="222">
        <v>20</v>
      </c>
      <c r="D10" s="223">
        <v>589000000</v>
      </c>
      <c r="E10" s="1497">
        <f>IFERROR(D10/$D$21,"")</f>
        <v>0.27113288415069109</v>
      </c>
      <c r="F10" s="223">
        <v>1200000</v>
      </c>
      <c r="G10" s="1500">
        <f>IFERROR(F10/D10,"")</f>
        <v>2.0373514431239388E-3</v>
      </c>
    </row>
    <row r="11" spans="1:32" x14ac:dyDescent="0.2">
      <c r="A11" s="2566" t="s">
        <v>15</v>
      </c>
      <c r="B11" s="2567" t="s">
        <v>16</v>
      </c>
      <c r="C11" s="224">
        <v>36</v>
      </c>
      <c r="D11" s="225">
        <v>776460200</v>
      </c>
      <c r="E11" s="1497">
        <f t="shared" ref="E11:E20" si="0">IFERROR(D11/$D$21,"")</f>
        <v>0.35742596511752539</v>
      </c>
      <c r="F11" s="225">
        <v>435124200</v>
      </c>
      <c r="G11" s="1500">
        <f t="shared" ref="G11:G21" si="1">IFERROR(F11/D11,"")</f>
        <v>0.56039472467487705</v>
      </c>
    </row>
    <row r="12" spans="1:32" x14ac:dyDescent="0.2">
      <c r="A12" s="2566" t="s">
        <v>17</v>
      </c>
      <c r="B12" s="2567" t="s">
        <v>18</v>
      </c>
      <c r="C12" s="224">
        <v>5</v>
      </c>
      <c r="D12" s="225">
        <v>20000000</v>
      </c>
      <c r="E12" s="1497">
        <f t="shared" si="0"/>
        <v>9.2065495467127719E-3</v>
      </c>
      <c r="F12" s="225">
        <v>1000000</v>
      </c>
      <c r="G12" s="1500">
        <f t="shared" si="1"/>
        <v>0.05</v>
      </c>
    </row>
    <row r="13" spans="1:32" x14ac:dyDescent="0.2">
      <c r="A13" s="2566" t="s">
        <v>19</v>
      </c>
      <c r="B13" s="2567" t="s">
        <v>20</v>
      </c>
      <c r="C13" s="224">
        <v>12</v>
      </c>
      <c r="D13" s="225">
        <v>32342000</v>
      </c>
      <c r="E13" s="1497">
        <f t="shared" si="0"/>
        <v>1.4887911271989223E-2</v>
      </c>
      <c r="F13" s="225">
        <v>22453253</v>
      </c>
      <c r="G13" s="1500">
        <f t="shared" si="1"/>
        <v>0.69424441902170553</v>
      </c>
    </row>
    <row r="14" spans="1:32" x14ac:dyDescent="0.2">
      <c r="A14" s="2566" t="s">
        <v>21</v>
      </c>
      <c r="B14" s="2567" t="s">
        <v>22</v>
      </c>
      <c r="C14" s="224">
        <v>200</v>
      </c>
      <c r="D14" s="225">
        <v>754564320</v>
      </c>
      <c r="E14" s="1497">
        <f t="shared" si="0"/>
        <v>0.34734668991308154</v>
      </c>
      <c r="F14" s="225">
        <v>464530000</v>
      </c>
      <c r="G14" s="1500">
        <f t="shared" si="1"/>
        <v>0.61562677652184772</v>
      </c>
    </row>
    <row r="15" spans="1:32" x14ac:dyDescent="0.2">
      <c r="A15" s="2566" t="s">
        <v>23</v>
      </c>
      <c r="B15" s="2567" t="s">
        <v>24</v>
      </c>
      <c r="C15" s="224"/>
      <c r="D15" s="225"/>
      <c r="E15" s="1497">
        <f t="shared" si="0"/>
        <v>0</v>
      </c>
      <c r="F15" s="225"/>
      <c r="G15" s="1500" t="str">
        <f t="shared" si="1"/>
        <v/>
      </c>
    </row>
    <row r="16" spans="1:32" x14ac:dyDescent="0.2">
      <c r="A16" s="2566" t="s">
        <v>25</v>
      </c>
      <c r="B16" s="2567" t="s">
        <v>26</v>
      </c>
      <c r="C16" s="224"/>
      <c r="D16" s="225"/>
      <c r="E16" s="1497">
        <f t="shared" si="0"/>
        <v>0</v>
      </c>
      <c r="F16" s="225">
        <v>0</v>
      </c>
      <c r="G16" s="1500" t="str">
        <f t="shared" si="1"/>
        <v/>
      </c>
    </row>
    <row r="17" spans="1:8" x14ac:dyDescent="0.2">
      <c r="A17" s="2566" t="s">
        <v>27</v>
      </c>
      <c r="B17" s="2567" t="s">
        <v>28</v>
      </c>
      <c r="C17" s="224"/>
      <c r="D17" s="225"/>
      <c r="E17" s="1497">
        <f t="shared" si="0"/>
        <v>0</v>
      </c>
      <c r="F17" s="225"/>
      <c r="G17" s="1500" t="str">
        <f t="shared" si="1"/>
        <v/>
      </c>
    </row>
    <row r="18" spans="1:8" x14ac:dyDescent="0.2">
      <c r="A18" s="2566" t="s">
        <v>29</v>
      </c>
      <c r="B18" s="2567" t="s">
        <v>30</v>
      </c>
      <c r="C18" s="224"/>
      <c r="D18" s="225"/>
      <c r="E18" s="1497">
        <f t="shared" si="0"/>
        <v>0</v>
      </c>
      <c r="F18" s="225"/>
      <c r="G18" s="1500" t="str">
        <f t="shared" si="1"/>
        <v/>
      </c>
    </row>
    <row r="19" spans="1:8" x14ac:dyDescent="0.2">
      <c r="A19" s="2566" t="s">
        <v>31</v>
      </c>
      <c r="B19" s="2567" t="s">
        <v>32</v>
      </c>
      <c r="C19" s="226"/>
      <c r="D19" s="227"/>
      <c r="E19" s="1497">
        <f t="shared" si="0"/>
        <v>0</v>
      </c>
      <c r="F19" s="227"/>
      <c r="G19" s="1500" t="str">
        <f t="shared" si="1"/>
        <v/>
      </c>
    </row>
    <row r="20" spans="1:8" ht="15" thickBot="1" x14ac:dyDescent="0.25">
      <c r="A20" s="2568" t="s">
        <v>33</v>
      </c>
      <c r="B20" s="2569" t="s">
        <v>34</v>
      </c>
      <c r="C20" s="228"/>
      <c r="D20" s="229"/>
      <c r="E20" s="1498">
        <f t="shared" si="0"/>
        <v>0</v>
      </c>
      <c r="F20" s="229"/>
      <c r="G20" s="1501" t="str">
        <f t="shared" si="1"/>
        <v/>
      </c>
      <c r="H20" s="37"/>
    </row>
    <row r="21" spans="1:8" ht="16.5" thickTop="1" thickBot="1" x14ac:dyDescent="0.3">
      <c r="A21" s="2582" t="s">
        <v>35</v>
      </c>
      <c r="B21" s="2583"/>
      <c r="C21" s="38">
        <f>SUM(C10:C20)</f>
        <v>273</v>
      </c>
      <c r="D21" s="39">
        <f>SUM(D10:D20)</f>
        <v>2172366520</v>
      </c>
      <c r="E21" s="1499">
        <f>SUM(E10:E20)</f>
        <v>1</v>
      </c>
      <c r="F21" s="39">
        <f>SUM(F10:F20)</f>
        <v>924307453</v>
      </c>
      <c r="G21" s="1502">
        <f t="shared" si="1"/>
        <v>0.42548411812201931</v>
      </c>
    </row>
    <row r="22" spans="1:8" ht="15.75" thickTop="1" thickBot="1" x14ac:dyDescent="0.25">
      <c r="A22" s="2584" t="s">
        <v>36</v>
      </c>
      <c r="B22" s="2579"/>
      <c r="C22" s="2579"/>
      <c r="D22" s="2579"/>
      <c r="E22" s="2579"/>
      <c r="F22" s="2579"/>
      <c r="G22" s="2579"/>
      <c r="H22" s="37"/>
    </row>
    <row r="23" spans="1:8" ht="15.75" thickTop="1" thickBot="1" x14ac:dyDescent="0.25">
      <c r="A23" s="2585"/>
      <c r="B23" s="2585"/>
      <c r="C23" s="2585"/>
      <c r="D23" s="2585"/>
      <c r="E23" s="2585"/>
      <c r="F23" s="2585"/>
      <c r="G23" s="2585"/>
    </row>
    <row r="24" spans="1:8" ht="39.75" thickTop="1" thickBot="1" x14ac:dyDescent="0.25">
      <c r="A24" s="2592" t="s">
        <v>37</v>
      </c>
      <c r="B24" s="2593"/>
      <c r="C24" s="35" t="s">
        <v>8</v>
      </c>
      <c r="D24" s="40" t="s">
        <v>9</v>
      </c>
      <c r="E24" s="40" t="s">
        <v>10</v>
      </c>
      <c r="F24" s="35" t="s">
        <v>11</v>
      </c>
      <c r="G24" s="36" t="s">
        <v>12</v>
      </c>
    </row>
    <row r="25" spans="1:8" ht="15" thickTop="1" x14ac:dyDescent="0.2">
      <c r="A25" s="2594" t="s">
        <v>38</v>
      </c>
      <c r="B25" s="2595"/>
      <c r="C25" s="230">
        <v>10</v>
      </c>
      <c r="D25" s="231">
        <v>633441000</v>
      </c>
      <c r="E25" s="1503">
        <f>D25/$D$97</f>
        <v>0.28574470010819886</v>
      </c>
      <c r="F25" s="223">
        <v>80000000</v>
      </c>
      <c r="G25" s="1506">
        <f>IFERROR(F25/D25,"")</f>
        <v>0.12629431943937952</v>
      </c>
    </row>
    <row r="26" spans="1:8" x14ac:dyDescent="0.2">
      <c r="A26" s="2566" t="s">
        <v>39</v>
      </c>
      <c r="B26" s="2567" t="str">
        <f t="shared" ref="B26:B69" si="2">MID(C26,3,70)</f>
        <v/>
      </c>
      <c r="C26" s="232">
        <v>36</v>
      </c>
      <c r="D26" s="223">
        <v>776460200</v>
      </c>
      <c r="E26" s="1504">
        <f t="shared" ref="E26:E89" si="3">D26/$D$97</f>
        <v>0.35026054043699745</v>
      </c>
      <c r="F26" s="225">
        <v>435124200</v>
      </c>
      <c r="G26" s="1507">
        <f>IFERROR(F26/D26,"")</f>
        <v>0.56039472467487705</v>
      </c>
    </row>
    <row r="27" spans="1:8" x14ac:dyDescent="0.2">
      <c r="A27" s="2566" t="s">
        <v>40</v>
      </c>
      <c r="B27" s="2567" t="str">
        <f t="shared" si="2"/>
        <v/>
      </c>
      <c r="C27" s="232">
        <v>5</v>
      </c>
      <c r="D27" s="223">
        <v>20000000</v>
      </c>
      <c r="E27" s="1504">
        <f t="shared" si="3"/>
        <v>9.0219831083936421E-3</v>
      </c>
      <c r="F27" s="225">
        <v>1000000</v>
      </c>
      <c r="G27" s="1507">
        <f t="shared" ref="G27:G90" si="4">IFERROR(F27/D27,"")</f>
        <v>0.05</v>
      </c>
    </row>
    <row r="28" spans="1:8" x14ac:dyDescent="0.2">
      <c r="A28" s="2566" t="s">
        <v>41</v>
      </c>
      <c r="B28" s="2567" t="str">
        <f t="shared" si="2"/>
        <v/>
      </c>
      <c r="C28" s="232">
        <v>12</v>
      </c>
      <c r="D28" s="223">
        <v>32342000</v>
      </c>
      <c r="E28" s="1504">
        <f t="shared" si="3"/>
        <v>1.4589448884583358E-2</v>
      </c>
      <c r="F28" s="225">
        <v>22453253</v>
      </c>
      <c r="G28" s="1507">
        <f t="shared" si="4"/>
        <v>0.69424441902170553</v>
      </c>
    </row>
    <row r="29" spans="1:8" x14ac:dyDescent="0.2">
      <c r="A29" s="2566" t="s">
        <v>42</v>
      </c>
      <c r="B29" s="2567" t="str">
        <f t="shared" si="2"/>
        <v>0</v>
      </c>
      <c r="C29" s="232">
        <v>200</v>
      </c>
      <c r="D29" s="223">
        <v>754564320</v>
      </c>
      <c r="E29" s="1504">
        <f t="shared" si="3"/>
        <v>0.3403833274618267</v>
      </c>
      <c r="F29" s="225">
        <v>464530000</v>
      </c>
      <c r="G29" s="1507">
        <f t="shared" si="4"/>
        <v>0.61562677652184772</v>
      </c>
    </row>
    <row r="30" spans="1:8" x14ac:dyDescent="0.2">
      <c r="A30" s="2566" t="s">
        <v>43</v>
      </c>
      <c r="B30" s="2567" t="str">
        <f t="shared" si="2"/>
        <v/>
      </c>
      <c r="C30" s="232"/>
      <c r="D30" s="223"/>
      <c r="E30" s="1504">
        <f t="shared" si="3"/>
        <v>0</v>
      </c>
      <c r="F30" s="223"/>
      <c r="G30" s="1507" t="str">
        <f t="shared" si="4"/>
        <v/>
      </c>
    </row>
    <row r="31" spans="1:8" x14ac:dyDescent="0.2">
      <c r="A31" s="2566" t="s">
        <v>44</v>
      </c>
      <c r="B31" s="2567" t="str">
        <f t="shared" si="2"/>
        <v/>
      </c>
      <c r="C31" s="232"/>
      <c r="D31" s="223"/>
      <c r="E31" s="1504">
        <f t="shared" si="3"/>
        <v>0</v>
      </c>
      <c r="F31" s="223"/>
      <c r="G31" s="1507" t="str">
        <f t="shared" si="4"/>
        <v/>
      </c>
    </row>
    <row r="32" spans="1:8" x14ac:dyDescent="0.2">
      <c r="A32" s="2566" t="s">
        <v>45</v>
      </c>
      <c r="B32" s="2567" t="str">
        <f t="shared" si="2"/>
        <v/>
      </c>
      <c r="C32" s="232"/>
      <c r="D32" s="223"/>
      <c r="E32" s="1504">
        <f t="shared" si="3"/>
        <v>0</v>
      </c>
      <c r="F32" s="223"/>
      <c r="G32" s="1507" t="str">
        <f t="shared" si="4"/>
        <v/>
      </c>
    </row>
    <row r="33" spans="1:7" x14ac:dyDescent="0.2">
      <c r="A33" s="2566" t="s">
        <v>46</v>
      </c>
      <c r="B33" s="2567" t="str">
        <f t="shared" si="2"/>
        <v/>
      </c>
      <c r="C33" s="232"/>
      <c r="D33" s="223"/>
      <c r="E33" s="1504">
        <f t="shared" si="3"/>
        <v>0</v>
      </c>
      <c r="F33" s="223"/>
      <c r="G33" s="1507" t="str">
        <f t="shared" si="4"/>
        <v/>
      </c>
    </row>
    <row r="34" spans="1:7" x14ac:dyDescent="0.2">
      <c r="A34" s="2566" t="s">
        <v>47</v>
      </c>
      <c r="B34" s="2567" t="str">
        <f t="shared" si="2"/>
        <v/>
      </c>
      <c r="C34" s="232"/>
      <c r="D34" s="223"/>
      <c r="E34" s="1504">
        <f t="shared" si="3"/>
        <v>0</v>
      </c>
      <c r="F34" s="223"/>
      <c r="G34" s="1507" t="str">
        <f t="shared" si="4"/>
        <v/>
      </c>
    </row>
    <row r="35" spans="1:7" x14ac:dyDescent="0.2">
      <c r="A35" s="2566" t="s">
        <v>48</v>
      </c>
      <c r="B35" s="2567" t="str">
        <f t="shared" si="2"/>
        <v/>
      </c>
      <c r="C35" s="232"/>
      <c r="D35" s="223"/>
      <c r="E35" s="1504">
        <f t="shared" si="3"/>
        <v>0</v>
      </c>
      <c r="F35" s="223"/>
      <c r="G35" s="1507" t="str">
        <f t="shared" si="4"/>
        <v/>
      </c>
    </row>
    <row r="36" spans="1:7" x14ac:dyDescent="0.2">
      <c r="A36" s="2566" t="s">
        <v>49</v>
      </c>
      <c r="B36" s="2567" t="str">
        <f t="shared" si="2"/>
        <v/>
      </c>
      <c r="C36" s="232"/>
      <c r="D36" s="223"/>
      <c r="E36" s="1504">
        <f t="shared" si="3"/>
        <v>0</v>
      </c>
      <c r="F36" s="223"/>
      <c r="G36" s="1507" t="str">
        <f t="shared" si="4"/>
        <v/>
      </c>
    </row>
    <row r="37" spans="1:7" x14ac:dyDescent="0.2">
      <c r="A37" s="2566" t="s">
        <v>50</v>
      </c>
      <c r="B37" s="2567" t="str">
        <f t="shared" si="2"/>
        <v/>
      </c>
      <c r="C37" s="232"/>
      <c r="D37" s="223"/>
      <c r="E37" s="1504">
        <f t="shared" si="3"/>
        <v>0</v>
      </c>
      <c r="F37" s="223"/>
      <c r="G37" s="1507" t="str">
        <f t="shared" si="4"/>
        <v/>
      </c>
    </row>
    <row r="38" spans="1:7" x14ac:dyDescent="0.2">
      <c r="A38" s="2566" t="s">
        <v>51</v>
      </c>
      <c r="B38" s="2567" t="str">
        <f t="shared" si="2"/>
        <v/>
      </c>
      <c r="C38" s="232"/>
      <c r="D38" s="223"/>
      <c r="E38" s="1504">
        <f t="shared" si="3"/>
        <v>0</v>
      </c>
      <c r="F38" s="223"/>
      <c r="G38" s="1507" t="str">
        <f t="shared" si="4"/>
        <v/>
      </c>
    </row>
    <row r="39" spans="1:7" x14ac:dyDescent="0.2">
      <c r="A39" s="2566" t="s">
        <v>52</v>
      </c>
      <c r="B39" s="2567" t="str">
        <f t="shared" si="2"/>
        <v/>
      </c>
      <c r="C39" s="232"/>
      <c r="D39" s="223"/>
      <c r="E39" s="1504">
        <f t="shared" si="3"/>
        <v>0</v>
      </c>
      <c r="F39" s="223"/>
      <c r="G39" s="1507" t="str">
        <f t="shared" si="4"/>
        <v/>
      </c>
    </row>
    <row r="40" spans="1:7" x14ac:dyDescent="0.2">
      <c r="A40" s="2566" t="s">
        <v>53</v>
      </c>
      <c r="B40" s="2567" t="str">
        <f t="shared" si="2"/>
        <v/>
      </c>
      <c r="C40" s="232"/>
      <c r="D40" s="223"/>
      <c r="E40" s="1504">
        <f t="shared" si="3"/>
        <v>0</v>
      </c>
      <c r="F40" s="223"/>
      <c r="G40" s="1507" t="str">
        <f t="shared" si="4"/>
        <v/>
      </c>
    </row>
    <row r="41" spans="1:7" x14ac:dyDescent="0.2">
      <c r="A41" s="2566" t="s">
        <v>54</v>
      </c>
      <c r="B41" s="2567" t="str">
        <f t="shared" si="2"/>
        <v/>
      </c>
      <c r="C41" s="232"/>
      <c r="D41" s="223"/>
      <c r="E41" s="1504">
        <f t="shared" si="3"/>
        <v>0</v>
      </c>
      <c r="F41" s="223"/>
      <c r="G41" s="1507" t="str">
        <f t="shared" si="4"/>
        <v/>
      </c>
    </row>
    <row r="42" spans="1:7" x14ac:dyDescent="0.2">
      <c r="A42" s="2566" t="s">
        <v>55</v>
      </c>
      <c r="B42" s="2567" t="str">
        <f t="shared" si="2"/>
        <v/>
      </c>
      <c r="C42" s="232"/>
      <c r="D42" s="223"/>
      <c r="E42" s="1504">
        <f t="shared" si="3"/>
        <v>0</v>
      </c>
      <c r="F42" s="223"/>
      <c r="G42" s="1507" t="str">
        <f t="shared" si="4"/>
        <v/>
      </c>
    </row>
    <row r="43" spans="1:7" x14ac:dyDescent="0.2">
      <c r="A43" s="2566" t="s">
        <v>56</v>
      </c>
      <c r="B43" s="2567" t="str">
        <f t="shared" si="2"/>
        <v/>
      </c>
      <c r="C43" s="232"/>
      <c r="D43" s="223"/>
      <c r="E43" s="1504">
        <f t="shared" si="3"/>
        <v>0</v>
      </c>
      <c r="F43" s="223"/>
      <c r="G43" s="1507" t="str">
        <f t="shared" si="4"/>
        <v/>
      </c>
    </row>
    <row r="44" spans="1:7" x14ac:dyDescent="0.2">
      <c r="A44" s="2566" t="s">
        <v>57</v>
      </c>
      <c r="B44" s="2567" t="str">
        <f t="shared" si="2"/>
        <v/>
      </c>
      <c r="C44" s="232"/>
      <c r="D44" s="223"/>
      <c r="E44" s="1504">
        <f t="shared" si="3"/>
        <v>0</v>
      </c>
      <c r="F44" s="223"/>
      <c r="G44" s="1507" t="str">
        <f t="shared" si="4"/>
        <v/>
      </c>
    </row>
    <row r="45" spans="1:7" x14ac:dyDescent="0.2">
      <c r="A45" s="2566" t="s">
        <v>58</v>
      </c>
      <c r="B45" s="2567" t="str">
        <f t="shared" si="2"/>
        <v/>
      </c>
      <c r="C45" s="232"/>
      <c r="D45" s="223"/>
      <c r="E45" s="1504">
        <f t="shared" si="3"/>
        <v>0</v>
      </c>
      <c r="F45" s="223"/>
      <c r="G45" s="1507" t="str">
        <f t="shared" si="4"/>
        <v/>
      </c>
    </row>
    <row r="46" spans="1:7" x14ac:dyDescent="0.2">
      <c r="A46" s="2566" t="s">
        <v>59</v>
      </c>
      <c r="B46" s="2567" t="str">
        <f t="shared" si="2"/>
        <v/>
      </c>
      <c r="C46" s="232"/>
      <c r="D46" s="223"/>
      <c r="E46" s="1504">
        <f t="shared" si="3"/>
        <v>0</v>
      </c>
      <c r="F46" s="223"/>
      <c r="G46" s="1507" t="str">
        <f t="shared" si="4"/>
        <v/>
      </c>
    </row>
    <row r="47" spans="1:7" x14ac:dyDescent="0.2">
      <c r="A47" s="2566" t="s">
        <v>60</v>
      </c>
      <c r="B47" s="2567" t="str">
        <f t="shared" si="2"/>
        <v/>
      </c>
      <c r="C47" s="232"/>
      <c r="D47" s="223"/>
      <c r="E47" s="1504">
        <f t="shared" si="3"/>
        <v>0</v>
      </c>
      <c r="F47" s="223"/>
      <c r="G47" s="1507" t="str">
        <f t="shared" si="4"/>
        <v/>
      </c>
    </row>
    <row r="48" spans="1:7" x14ac:dyDescent="0.2">
      <c r="A48" s="2566" t="s">
        <v>61</v>
      </c>
      <c r="B48" s="2567" t="str">
        <f t="shared" si="2"/>
        <v/>
      </c>
      <c r="C48" s="232"/>
      <c r="D48" s="223"/>
      <c r="E48" s="1504">
        <f t="shared" si="3"/>
        <v>0</v>
      </c>
      <c r="F48" s="223"/>
      <c r="G48" s="1507" t="str">
        <f t="shared" si="4"/>
        <v/>
      </c>
    </row>
    <row r="49" spans="1:7" x14ac:dyDescent="0.2">
      <c r="A49" s="2566" t="s">
        <v>62</v>
      </c>
      <c r="B49" s="2567" t="str">
        <f t="shared" si="2"/>
        <v/>
      </c>
      <c r="C49" s="232"/>
      <c r="D49" s="223"/>
      <c r="E49" s="1504">
        <f t="shared" si="3"/>
        <v>0</v>
      </c>
      <c r="F49" s="223"/>
      <c r="G49" s="1507" t="str">
        <f t="shared" si="4"/>
        <v/>
      </c>
    </row>
    <row r="50" spans="1:7" x14ac:dyDescent="0.2">
      <c r="A50" s="2566" t="s">
        <v>63</v>
      </c>
      <c r="B50" s="2567" t="str">
        <f t="shared" si="2"/>
        <v/>
      </c>
      <c r="C50" s="232"/>
      <c r="D50" s="223"/>
      <c r="E50" s="1504">
        <f t="shared" si="3"/>
        <v>0</v>
      </c>
      <c r="F50" s="223"/>
      <c r="G50" s="1507" t="str">
        <f t="shared" si="4"/>
        <v/>
      </c>
    </row>
    <row r="51" spans="1:7" x14ac:dyDescent="0.2">
      <c r="A51" s="2566" t="s">
        <v>64</v>
      </c>
      <c r="B51" s="2567" t="str">
        <f t="shared" si="2"/>
        <v/>
      </c>
      <c r="C51" s="232"/>
      <c r="D51" s="223"/>
      <c r="E51" s="1504">
        <f t="shared" si="3"/>
        <v>0</v>
      </c>
      <c r="F51" s="223"/>
      <c r="G51" s="1507" t="str">
        <f t="shared" si="4"/>
        <v/>
      </c>
    </row>
    <row r="52" spans="1:7" x14ac:dyDescent="0.2">
      <c r="A52" s="2566" t="s">
        <v>65</v>
      </c>
      <c r="B52" s="2567" t="str">
        <f t="shared" si="2"/>
        <v/>
      </c>
      <c r="C52" s="232"/>
      <c r="D52" s="223"/>
      <c r="E52" s="1504">
        <f t="shared" si="3"/>
        <v>0</v>
      </c>
      <c r="F52" s="223"/>
      <c r="G52" s="1507" t="str">
        <f t="shared" si="4"/>
        <v/>
      </c>
    </row>
    <row r="53" spans="1:7" x14ac:dyDescent="0.2">
      <c r="A53" s="2566" t="s">
        <v>66</v>
      </c>
      <c r="B53" s="2567" t="str">
        <f t="shared" si="2"/>
        <v/>
      </c>
      <c r="C53" s="232"/>
      <c r="D53" s="223"/>
      <c r="E53" s="1504">
        <f t="shared" si="3"/>
        <v>0</v>
      </c>
      <c r="F53" s="223"/>
      <c r="G53" s="1507" t="str">
        <f t="shared" si="4"/>
        <v/>
      </c>
    </row>
    <row r="54" spans="1:7" x14ac:dyDescent="0.2">
      <c r="A54" s="2566" t="s">
        <v>67</v>
      </c>
      <c r="B54" s="2567" t="str">
        <f t="shared" si="2"/>
        <v/>
      </c>
      <c r="C54" s="232"/>
      <c r="D54" s="223"/>
      <c r="E54" s="1504">
        <f t="shared" si="3"/>
        <v>0</v>
      </c>
      <c r="F54" s="223"/>
      <c r="G54" s="1507" t="str">
        <f t="shared" si="4"/>
        <v/>
      </c>
    </row>
    <row r="55" spans="1:7" x14ac:dyDescent="0.2">
      <c r="A55" s="2566" t="s">
        <v>68</v>
      </c>
      <c r="B55" s="2567" t="str">
        <f t="shared" si="2"/>
        <v/>
      </c>
      <c r="C55" s="232"/>
      <c r="D55" s="223"/>
      <c r="E55" s="1504">
        <f t="shared" si="3"/>
        <v>0</v>
      </c>
      <c r="F55" s="223"/>
      <c r="G55" s="1507" t="str">
        <f t="shared" si="4"/>
        <v/>
      </c>
    </row>
    <row r="56" spans="1:7" x14ac:dyDescent="0.2">
      <c r="A56" s="2566" t="s">
        <v>69</v>
      </c>
      <c r="B56" s="2567" t="str">
        <f t="shared" si="2"/>
        <v/>
      </c>
      <c r="C56" s="232"/>
      <c r="D56" s="223"/>
      <c r="E56" s="1504">
        <f t="shared" si="3"/>
        <v>0</v>
      </c>
      <c r="F56" s="223"/>
      <c r="G56" s="1507" t="str">
        <f t="shared" si="4"/>
        <v/>
      </c>
    </row>
    <row r="57" spans="1:7" x14ac:dyDescent="0.2">
      <c r="A57" s="2566" t="s">
        <v>70</v>
      </c>
      <c r="B57" s="2567" t="str">
        <f t="shared" si="2"/>
        <v/>
      </c>
      <c r="C57" s="232"/>
      <c r="D57" s="223"/>
      <c r="E57" s="1504">
        <f t="shared" si="3"/>
        <v>0</v>
      </c>
      <c r="F57" s="223"/>
      <c r="G57" s="1507" t="str">
        <f t="shared" si="4"/>
        <v/>
      </c>
    </row>
    <row r="58" spans="1:7" x14ac:dyDescent="0.2">
      <c r="A58" s="2566" t="s">
        <v>71</v>
      </c>
      <c r="B58" s="2567" t="str">
        <f t="shared" si="2"/>
        <v/>
      </c>
      <c r="C58" s="232"/>
      <c r="D58" s="223"/>
      <c r="E58" s="1504">
        <f t="shared" si="3"/>
        <v>0</v>
      </c>
      <c r="F58" s="223"/>
      <c r="G58" s="1507" t="str">
        <f t="shared" si="4"/>
        <v/>
      </c>
    </row>
    <row r="59" spans="1:7" x14ac:dyDescent="0.2">
      <c r="A59" s="2566" t="s">
        <v>72</v>
      </c>
      <c r="B59" s="2567" t="str">
        <f t="shared" si="2"/>
        <v/>
      </c>
      <c r="C59" s="232"/>
      <c r="D59" s="223"/>
      <c r="E59" s="1504">
        <f t="shared" si="3"/>
        <v>0</v>
      </c>
      <c r="F59" s="223"/>
      <c r="G59" s="1507" t="str">
        <f t="shared" si="4"/>
        <v/>
      </c>
    </row>
    <row r="60" spans="1:7" x14ac:dyDescent="0.2">
      <c r="A60" s="2566" t="s">
        <v>73</v>
      </c>
      <c r="B60" s="2567" t="str">
        <f t="shared" si="2"/>
        <v/>
      </c>
      <c r="C60" s="232"/>
      <c r="D60" s="223"/>
      <c r="E60" s="1504">
        <f t="shared" si="3"/>
        <v>0</v>
      </c>
      <c r="F60" s="223"/>
      <c r="G60" s="1507" t="str">
        <f t="shared" si="4"/>
        <v/>
      </c>
    </row>
    <row r="61" spans="1:7" x14ac:dyDescent="0.2">
      <c r="A61" s="2566" t="s">
        <v>74</v>
      </c>
      <c r="B61" s="2567" t="str">
        <f t="shared" si="2"/>
        <v/>
      </c>
      <c r="C61" s="232"/>
      <c r="D61" s="223"/>
      <c r="E61" s="1504">
        <f t="shared" si="3"/>
        <v>0</v>
      </c>
      <c r="F61" s="223"/>
      <c r="G61" s="1507" t="str">
        <f t="shared" si="4"/>
        <v/>
      </c>
    </row>
    <row r="62" spans="1:7" x14ac:dyDescent="0.2">
      <c r="A62" s="2566" t="s">
        <v>75</v>
      </c>
      <c r="B62" s="2567" t="str">
        <f t="shared" si="2"/>
        <v/>
      </c>
      <c r="C62" s="232"/>
      <c r="D62" s="223"/>
      <c r="E62" s="1504">
        <f t="shared" si="3"/>
        <v>0</v>
      </c>
      <c r="F62" s="223"/>
      <c r="G62" s="1507" t="str">
        <f t="shared" si="4"/>
        <v/>
      </c>
    </row>
    <row r="63" spans="1:7" x14ac:dyDescent="0.2">
      <c r="A63" s="2566" t="s">
        <v>76</v>
      </c>
      <c r="B63" s="2567" t="str">
        <f t="shared" si="2"/>
        <v/>
      </c>
      <c r="C63" s="232"/>
      <c r="D63" s="223"/>
      <c r="E63" s="1504">
        <f t="shared" si="3"/>
        <v>0</v>
      </c>
      <c r="F63" s="223"/>
      <c r="G63" s="1507" t="str">
        <f t="shared" si="4"/>
        <v/>
      </c>
    </row>
    <row r="64" spans="1:7" x14ac:dyDescent="0.2">
      <c r="A64" s="2566" t="s">
        <v>77</v>
      </c>
      <c r="B64" s="2567" t="str">
        <f t="shared" si="2"/>
        <v/>
      </c>
      <c r="C64" s="232"/>
      <c r="D64" s="223"/>
      <c r="E64" s="1504">
        <f t="shared" si="3"/>
        <v>0</v>
      </c>
      <c r="F64" s="223"/>
      <c r="G64" s="1507" t="str">
        <f t="shared" si="4"/>
        <v/>
      </c>
    </row>
    <row r="65" spans="1:7" x14ac:dyDescent="0.2">
      <c r="A65" s="2566" t="s">
        <v>78</v>
      </c>
      <c r="B65" s="2567" t="str">
        <f t="shared" si="2"/>
        <v/>
      </c>
      <c r="C65" s="232"/>
      <c r="D65" s="223"/>
      <c r="E65" s="1504">
        <f t="shared" si="3"/>
        <v>0</v>
      </c>
      <c r="F65" s="223"/>
      <c r="G65" s="1507" t="str">
        <f t="shared" si="4"/>
        <v/>
      </c>
    </row>
    <row r="66" spans="1:7" x14ac:dyDescent="0.2">
      <c r="A66" s="2566" t="s">
        <v>79</v>
      </c>
      <c r="B66" s="2567" t="str">
        <f t="shared" si="2"/>
        <v/>
      </c>
      <c r="C66" s="232"/>
      <c r="D66" s="223"/>
      <c r="E66" s="1504">
        <f t="shared" si="3"/>
        <v>0</v>
      </c>
      <c r="F66" s="223"/>
      <c r="G66" s="1507" t="str">
        <f t="shared" si="4"/>
        <v/>
      </c>
    </row>
    <row r="67" spans="1:7" x14ac:dyDescent="0.2">
      <c r="A67" s="2566" t="s">
        <v>80</v>
      </c>
      <c r="B67" s="2567" t="str">
        <f t="shared" si="2"/>
        <v/>
      </c>
      <c r="C67" s="232"/>
      <c r="D67" s="223"/>
      <c r="E67" s="1504">
        <f t="shared" si="3"/>
        <v>0</v>
      </c>
      <c r="F67" s="223"/>
      <c r="G67" s="1507" t="str">
        <f t="shared" si="4"/>
        <v/>
      </c>
    </row>
    <row r="68" spans="1:7" x14ac:dyDescent="0.2">
      <c r="A68" s="2566" t="s">
        <v>81</v>
      </c>
      <c r="B68" s="2567" t="str">
        <f t="shared" si="2"/>
        <v/>
      </c>
      <c r="C68" s="232"/>
      <c r="D68" s="223"/>
      <c r="E68" s="1504">
        <f t="shared" si="3"/>
        <v>0</v>
      </c>
      <c r="F68" s="223"/>
      <c r="G68" s="1507" t="str">
        <f t="shared" si="4"/>
        <v/>
      </c>
    </row>
    <row r="69" spans="1:7" x14ac:dyDescent="0.2">
      <c r="A69" s="2566" t="s">
        <v>82</v>
      </c>
      <c r="B69" s="2567" t="str">
        <f t="shared" si="2"/>
        <v/>
      </c>
      <c r="C69" s="232"/>
      <c r="D69" s="223"/>
      <c r="E69" s="1504">
        <f t="shared" si="3"/>
        <v>0</v>
      </c>
      <c r="F69" s="223"/>
      <c r="G69" s="1507" t="str">
        <f t="shared" si="4"/>
        <v/>
      </c>
    </row>
    <row r="70" spans="1:7" x14ac:dyDescent="0.2">
      <c r="A70" s="2566" t="s">
        <v>83</v>
      </c>
      <c r="B70" s="2567" t="str">
        <f>MID(C70,4,70)</f>
        <v/>
      </c>
      <c r="C70" s="232"/>
      <c r="D70" s="223"/>
      <c r="E70" s="1504">
        <f t="shared" si="3"/>
        <v>0</v>
      </c>
      <c r="F70" s="223"/>
      <c r="G70" s="1507" t="str">
        <f t="shared" si="4"/>
        <v/>
      </c>
    </row>
    <row r="71" spans="1:7" x14ac:dyDescent="0.2">
      <c r="A71" s="2566" t="s">
        <v>84</v>
      </c>
      <c r="B71" s="2567" t="str">
        <f t="shared" ref="B71:B96" si="5">MID(C71,4,70)</f>
        <v/>
      </c>
      <c r="C71" s="232"/>
      <c r="D71" s="223"/>
      <c r="E71" s="1504">
        <f t="shared" si="3"/>
        <v>0</v>
      </c>
      <c r="F71" s="223"/>
      <c r="G71" s="1507" t="str">
        <f t="shared" si="4"/>
        <v/>
      </c>
    </row>
    <row r="72" spans="1:7" x14ac:dyDescent="0.2">
      <c r="A72" s="2566" t="s">
        <v>85</v>
      </c>
      <c r="B72" s="2567" t="str">
        <f t="shared" si="5"/>
        <v/>
      </c>
      <c r="C72" s="232"/>
      <c r="D72" s="223"/>
      <c r="E72" s="1504">
        <f t="shared" si="3"/>
        <v>0</v>
      </c>
      <c r="F72" s="223"/>
      <c r="G72" s="1507" t="str">
        <f t="shared" si="4"/>
        <v/>
      </c>
    </row>
    <row r="73" spans="1:7" x14ac:dyDescent="0.2">
      <c r="A73" s="2566" t="s">
        <v>86</v>
      </c>
      <c r="B73" s="2567" t="str">
        <f t="shared" si="5"/>
        <v/>
      </c>
      <c r="C73" s="232"/>
      <c r="D73" s="223"/>
      <c r="E73" s="1504">
        <f t="shared" si="3"/>
        <v>0</v>
      </c>
      <c r="F73" s="223"/>
      <c r="G73" s="1507" t="str">
        <f t="shared" si="4"/>
        <v/>
      </c>
    </row>
    <row r="74" spans="1:7" x14ac:dyDescent="0.2">
      <c r="A74" s="2566" t="s">
        <v>87</v>
      </c>
      <c r="B74" s="2567" t="str">
        <f t="shared" si="5"/>
        <v/>
      </c>
      <c r="C74" s="232"/>
      <c r="D74" s="223"/>
      <c r="E74" s="1504">
        <f t="shared" si="3"/>
        <v>0</v>
      </c>
      <c r="F74" s="223"/>
      <c r="G74" s="1507" t="str">
        <f t="shared" si="4"/>
        <v/>
      </c>
    </row>
    <row r="75" spans="1:7" x14ac:dyDescent="0.2">
      <c r="A75" s="2566" t="s">
        <v>88</v>
      </c>
      <c r="B75" s="2567" t="str">
        <f t="shared" si="5"/>
        <v/>
      </c>
      <c r="C75" s="232"/>
      <c r="D75" s="223"/>
      <c r="E75" s="1504">
        <f t="shared" si="3"/>
        <v>0</v>
      </c>
      <c r="F75" s="223"/>
      <c r="G75" s="1507" t="str">
        <f t="shared" si="4"/>
        <v/>
      </c>
    </row>
    <row r="76" spans="1:7" x14ac:dyDescent="0.2">
      <c r="A76" s="2566" t="s">
        <v>89</v>
      </c>
      <c r="B76" s="2567" t="str">
        <f t="shared" si="5"/>
        <v/>
      </c>
      <c r="C76" s="232"/>
      <c r="D76" s="223"/>
      <c r="E76" s="1504">
        <f t="shared" si="3"/>
        <v>0</v>
      </c>
      <c r="F76" s="223"/>
      <c r="G76" s="1507" t="str">
        <f t="shared" si="4"/>
        <v/>
      </c>
    </row>
    <row r="77" spans="1:7" x14ac:dyDescent="0.2">
      <c r="A77" s="2566" t="s">
        <v>90</v>
      </c>
      <c r="B77" s="2567" t="str">
        <f t="shared" si="5"/>
        <v/>
      </c>
      <c r="C77" s="232"/>
      <c r="D77" s="223"/>
      <c r="E77" s="1504">
        <f t="shared" si="3"/>
        <v>0</v>
      </c>
      <c r="F77" s="223"/>
      <c r="G77" s="1507" t="str">
        <f t="shared" si="4"/>
        <v/>
      </c>
    </row>
    <row r="78" spans="1:7" x14ac:dyDescent="0.2">
      <c r="A78" s="2566" t="s">
        <v>91</v>
      </c>
      <c r="B78" s="2567" t="str">
        <f t="shared" si="5"/>
        <v/>
      </c>
      <c r="C78" s="232"/>
      <c r="D78" s="223"/>
      <c r="E78" s="1504">
        <f t="shared" si="3"/>
        <v>0</v>
      </c>
      <c r="F78" s="223"/>
      <c r="G78" s="1507" t="str">
        <f t="shared" si="4"/>
        <v/>
      </c>
    </row>
    <row r="79" spans="1:7" x14ac:dyDescent="0.2">
      <c r="A79" s="2566" t="s">
        <v>92</v>
      </c>
      <c r="B79" s="2567" t="str">
        <f t="shared" si="5"/>
        <v/>
      </c>
      <c r="C79" s="232"/>
      <c r="D79" s="225"/>
      <c r="E79" s="1504">
        <f t="shared" si="3"/>
        <v>0</v>
      </c>
      <c r="F79" s="225"/>
      <c r="G79" s="1507" t="str">
        <f t="shared" si="4"/>
        <v/>
      </c>
    </row>
    <row r="80" spans="1:7" x14ac:dyDescent="0.2">
      <c r="A80" s="2566" t="s">
        <v>93</v>
      </c>
      <c r="B80" s="2567" t="str">
        <f t="shared" si="5"/>
        <v/>
      </c>
      <c r="C80" s="232"/>
      <c r="D80" s="225"/>
      <c r="E80" s="1504">
        <f t="shared" si="3"/>
        <v>0</v>
      </c>
      <c r="F80" s="225"/>
      <c r="G80" s="1507" t="str">
        <f t="shared" si="4"/>
        <v/>
      </c>
    </row>
    <row r="81" spans="1:7" x14ac:dyDescent="0.2">
      <c r="A81" s="2566" t="s">
        <v>94</v>
      </c>
      <c r="B81" s="2567" t="str">
        <f t="shared" si="5"/>
        <v/>
      </c>
      <c r="C81" s="232"/>
      <c r="D81" s="225"/>
      <c r="E81" s="1504">
        <f t="shared" si="3"/>
        <v>0</v>
      </c>
      <c r="F81" s="225"/>
      <c r="G81" s="1507" t="str">
        <f t="shared" si="4"/>
        <v/>
      </c>
    </row>
    <row r="82" spans="1:7" x14ac:dyDescent="0.2">
      <c r="A82" s="2566" t="s">
        <v>95</v>
      </c>
      <c r="B82" s="2567" t="str">
        <f t="shared" si="5"/>
        <v/>
      </c>
      <c r="C82" s="232"/>
      <c r="D82" s="225"/>
      <c r="E82" s="1504">
        <f t="shared" si="3"/>
        <v>0</v>
      </c>
      <c r="F82" s="225"/>
      <c r="G82" s="1507" t="str">
        <f t="shared" si="4"/>
        <v/>
      </c>
    </row>
    <row r="83" spans="1:7" x14ac:dyDescent="0.2">
      <c r="A83" s="2566" t="s">
        <v>96</v>
      </c>
      <c r="B83" s="2567" t="str">
        <f t="shared" si="5"/>
        <v/>
      </c>
      <c r="C83" s="232"/>
      <c r="D83" s="225"/>
      <c r="E83" s="1504">
        <f t="shared" si="3"/>
        <v>0</v>
      </c>
      <c r="F83" s="225"/>
      <c r="G83" s="1507" t="str">
        <f t="shared" si="4"/>
        <v/>
      </c>
    </row>
    <row r="84" spans="1:7" x14ac:dyDescent="0.2">
      <c r="A84" s="2566" t="s">
        <v>97</v>
      </c>
      <c r="B84" s="2567" t="str">
        <f t="shared" si="5"/>
        <v/>
      </c>
      <c r="C84" s="232"/>
      <c r="D84" s="225"/>
      <c r="E84" s="1504">
        <f t="shared" si="3"/>
        <v>0</v>
      </c>
      <c r="F84" s="225"/>
      <c r="G84" s="1507" t="str">
        <f t="shared" si="4"/>
        <v/>
      </c>
    </row>
    <row r="85" spans="1:7" x14ac:dyDescent="0.2">
      <c r="A85" s="2566" t="s">
        <v>98</v>
      </c>
      <c r="B85" s="2567" t="str">
        <f t="shared" si="5"/>
        <v/>
      </c>
      <c r="C85" s="232"/>
      <c r="D85" s="225"/>
      <c r="E85" s="1504">
        <f t="shared" si="3"/>
        <v>0</v>
      </c>
      <c r="F85" s="225"/>
      <c r="G85" s="1507" t="str">
        <f t="shared" si="4"/>
        <v/>
      </c>
    </row>
    <row r="86" spans="1:7" x14ac:dyDescent="0.2">
      <c r="A86" s="2566" t="s">
        <v>99</v>
      </c>
      <c r="B86" s="2567" t="str">
        <f t="shared" si="5"/>
        <v/>
      </c>
      <c r="C86" s="232"/>
      <c r="D86" s="225"/>
      <c r="E86" s="1504">
        <f t="shared" si="3"/>
        <v>0</v>
      </c>
      <c r="F86" s="225"/>
      <c r="G86" s="1507" t="str">
        <f t="shared" si="4"/>
        <v/>
      </c>
    </row>
    <row r="87" spans="1:7" x14ac:dyDescent="0.2">
      <c r="A87" s="2566" t="s">
        <v>100</v>
      </c>
      <c r="B87" s="2567" t="str">
        <f t="shared" si="5"/>
        <v/>
      </c>
      <c r="C87" s="232"/>
      <c r="D87" s="225"/>
      <c r="E87" s="1504">
        <f t="shared" si="3"/>
        <v>0</v>
      </c>
      <c r="F87" s="225"/>
      <c r="G87" s="1507" t="str">
        <f t="shared" si="4"/>
        <v/>
      </c>
    </row>
    <row r="88" spans="1:7" x14ac:dyDescent="0.2">
      <c r="A88" s="2566" t="s">
        <v>101</v>
      </c>
      <c r="B88" s="2567" t="str">
        <f t="shared" si="5"/>
        <v/>
      </c>
      <c r="C88" s="232"/>
      <c r="D88" s="225"/>
      <c r="E88" s="1504">
        <f t="shared" si="3"/>
        <v>0</v>
      </c>
      <c r="F88" s="225"/>
      <c r="G88" s="1507" t="str">
        <f t="shared" si="4"/>
        <v/>
      </c>
    </row>
    <row r="89" spans="1:7" x14ac:dyDescent="0.2">
      <c r="A89" s="2566" t="s">
        <v>102</v>
      </c>
      <c r="B89" s="2567" t="str">
        <f t="shared" si="5"/>
        <v/>
      </c>
      <c r="C89" s="232"/>
      <c r="D89" s="225"/>
      <c r="E89" s="1504">
        <f t="shared" si="3"/>
        <v>0</v>
      </c>
      <c r="F89" s="225"/>
      <c r="G89" s="1507" t="str">
        <f t="shared" si="4"/>
        <v/>
      </c>
    </row>
    <row r="90" spans="1:7" x14ac:dyDescent="0.2">
      <c r="A90" s="2566" t="s">
        <v>103</v>
      </c>
      <c r="B90" s="2567" t="str">
        <f t="shared" si="5"/>
        <v/>
      </c>
      <c r="C90" s="232"/>
      <c r="D90" s="225"/>
      <c r="E90" s="1504">
        <f t="shared" ref="E90:E96" si="6">D90/$D$97</f>
        <v>0</v>
      </c>
      <c r="F90" s="225"/>
      <c r="G90" s="1507" t="str">
        <f t="shared" si="4"/>
        <v/>
      </c>
    </row>
    <row r="91" spans="1:7" x14ac:dyDescent="0.2">
      <c r="A91" s="2566" t="s">
        <v>104</v>
      </c>
      <c r="B91" s="2567" t="str">
        <f t="shared" si="5"/>
        <v/>
      </c>
      <c r="C91" s="232"/>
      <c r="D91" s="225"/>
      <c r="E91" s="1504">
        <f t="shared" si="6"/>
        <v>0</v>
      </c>
      <c r="F91" s="225"/>
      <c r="G91" s="1507" t="str">
        <f t="shared" ref="G91:G96" si="7">IFERROR(F91/D91,"")</f>
        <v/>
      </c>
    </row>
    <row r="92" spans="1:7" x14ac:dyDescent="0.2">
      <c r="A92" s="2566" t="s">
        <v>105</v>
      </c>
      <c r="B92" s="2567" t="str">
        <f t="shared" si="5"/>
        <v/>
      </c>
      <c r="C92" s="232"/>
      <c r="D92" s="225"/>
      <c r="E92" s="1504">
        <f t="shared" si="6"/>
        <v>0</v>
      </c>
      <c r="F92" s="225"/>
      <c r="G92" s="1507" t="str">
        <f t="shared" si="7"/>
        <v/>
      </c>
    </row>
    <row r="93" spans="1:7" x14ac:dyDescent="0.2">
      <c r="A93" s="2566" t="s">
        <v>106</v>
      </c>
      <c r="B93" s="2567" t="str">
        <f t="shared" si="5"/>
        <v/>
      </c>
      <c r="C93" s="232"/>
      <c r="D93" s="225"/>
      <c r="E93" s="1504">
        <f t="shared" si="6"/>
        <v>0</v>
      </c>
      <c r="F93" s="225"/>
      <c r="G93" s="1507" t="str">
        <f t="shared" si="7"/>
        <v/>
      </c>
    </row>
    <row r="94" spans="1:7" x14ac:dyDescent="0.2">
      <c r="A94" s="2566" t="s">
        <v>107</v>
      </c>
      <c r="B94" s="2567" t="str">
        <f t="shared" si="5"/>
        <v/>
      </c>
      <c r="C94" s="232"/>
      <c r="D94" s="225"/>
      <c r="E94" s="1504">
        <f t="shared" si="6"/>
        <v>0</v>
      </c>
      <c r="F94" s="225"/>
      <c r="G94" s="1507" t="str">
        <f t="shared" si="7"/>
        <v/>
      </c>
    </row>
    <row r="95" spans="1:7" x14ac:dyDescent="0.2">
      <c r="A95" s="2566" t="s">
        <v>108</v>
      </c>
      <c r="B95" s="2567" t="str">
        <f t="shared" si="5"/>
        <v/>
      </c>
      <c r="C95" s="232"/>
      <c r="D95" s="225"/>
      <c r="E95" s="1504">
        <f t="shared" si="6"/>
        <v>0</v>
      </c>
      <c r="F95" s="225"/>
      <c r="G95" s="1507" t="str">
        <f t="shared" si="7"/>
        <v/>
      </c>
    </row>
    <row r="96" spans="1:7" ht="15" thickBot="1" x14ac:dyDescent="0.25">
      <c r="A96" s="2568" t="s">
        <v>109</v>
      </c>
      <c r="B96" s="2569" t="str">
        <f t="shared" si="5"/>
        <v/>
      </c>
      <c r="C96" s="233"/>
      <c r="D96" s="227"/>
      <c r="E96" s="1505">
        <f t="shared" si="6"/>
        <v>0</v>
      </c>
      <c r="F96" s="227"/>
      <c r="G96" s="1508" t="str">
        <f t="shared" si="7"/>
        <v/>
      </c>
    </row>
    <row r="97" spans="1:8" ht="16.5" thickTop="1" thickBot="1" x14ac:dyDescent="0.3">
      <c r="A97" s="2570" t="s">
        <v>35</v>
      </c>
      <c r="B97" s="2571"/>
      <c r="C97" s="1509">
        <f>SUM(C25:C96)</f>
        <v>263</v>
      </c>
      <c r="D97" s="1510">
        <f>SUM(D25:D96)</f>
        <v>2216807520</v>
      </c>
      <c r="E97" s="1511">
        <f>SUM(E25:E96)</f>
        <v>1</v>
      </c>
      <c r="F97" s="1510">
        <f>SUM(F25:F96)</f>
        <v>1003107453</v>
      </c>
      <c r="G97" s="1501">
        <f>IFERROR(F97/D97,"")</f>
        <v>0.45250092484348842</v>
      </c>
    </row>
    <row r="98" spans="1:8" ht="15.75" thickTop="1" thickBot="1" x14ac:dyDescent="0.25">
      <c r="A98" s="2579" t="s">
        <v>110</v>
      </c>
      <c r="B98" s="2579"/>
      <c r="C98" s="2579"/>
      <c r="D98" s="2579"/>
      <c r="E98" s="2579"/>
      <c r="F98" s="2579"/>
      <c r="G98" s="2579"/>
      <c r="H98" s="37"/>
    </row>
    <row r="99" spans="1:8" ht="15.75" thickTop="1" thickBot="1" x14ac:dyDescent="0.25">
      <c r="A99" s="29"/>
      <c r="B99" s="29"/>
      <c r="C99" s="29"/>
      <c r="D99" s="29"/>
      <c r="E99" s="29"/>
      <c r="F99" s="29"/>
      <c r="G99" s="29"/>
    </row>
    <row r="100" spans="1:8" ht="33" customHeight="1" thickTop="1" thickBot="1" x14ac:dyDescent="0.3">
      <c r="A100" s="2575" t="s">
        <v>448</v>
      </c>
      <c r="B100" s="2575"/>
      <c r="C100" s="2576"/>
      <c r="D100" s="29"/>
      <c r="E100" s="2546" t="s">
        <v>461</v>
      </c>
      <c r="F100" s="2547"/>
      <c r="G100" s="2580" t="s">
        <v>1740</v>
      </c>
      <c r="H100" s="2580" t="s">
        <v>113</v>
      </c>
    </row>
    <row r="101" spans="1:8" ht="40.5" customHeight="1" thickTop="1" x14ac:dyDescent="0.2">
      <c r="A101" s="41" t="s">
        <v>111</v>
      </c>
      <c r="B101" s="42" t="s">
        <v>114</v>
      </c>
      <c r="C101" s="43" t="s">
        <v>1739</v>
      </c>
      <c r="D101" s="29"/>
      <c r="E101" s="2548"/>
      <c r="F101" s="2549"/>
      <c r="G101" s="2581"/>
      <c r="H101" s="2581"/>
    </row>
    <row r="102" spans="1:8" ht="14.25" customHeight="1" x14ac:dyDescent="0.2">
      <c r="A102" s="240">
        <v>2022</v>
      </c>
      <c r="B102" s="225">
        <v>350000000</v>
      </c>
      <c r="C102" s="234">
        <v>248900000</v>
      </c>
      <c r="D102" s="29"/>
      <c r="E102" s="2536" t="s">
        <v>115</v>
      </c>
      <c r="F102" s="2537"/>
      <c r="G102" s="237">
        <v>15467000</v>
      </c>
      <c r="H102" s="237">
        <v>8000000</v>
      </c>
    </row>
    <row r="103" spans="1:8" x14ac:dyDescent="0.2">
      <c r="A103" s="240">
        <v>2023</v>
      </c>
      <c r="B103" s="225">
        <v>130000000</v>
      </c>
      <c r="C103" s="234">
        <v>10034000</v>
      </c>
      <c r="D103" s="29"/>
      <c r="E103" s="2536" t="s">
        <v>116</v>
      </c>
      <c r="F103" s="2537"/>
      <c r="G103" s="237">
        <v>4359000000</v>
      </c>
      <c r="H103" s="237">
        <v>4183473000</v>
      </c>
    </row>
    <row r="104" spans="1:8" x14ac:dyDescent="0.2">
      <c r="A104" s="241">
        <v>2024</v>
      </c>
      <c r="B104" s="227">
        <v>458906898</v>
      </c>
      <c r="C104" s="235">
        <v>0</v>
      </c>
      <c r="D104" s="29"/>
      <c r="E104" s="2536" t="s">
        <v>1745</v>
      </c>
      <c r="F104" s="2537"/>
      <c r="G104" s="237">
        <v>158899898</v>
      </c>
      <c r="H104" s="237">
        <v>14656565</v>
      </c>
    </row>
    <row r="105" spans="1:8" ht="15" thickBot="1" x14ac:dyDescent="0.25">
      <c r="A105" s="242" t="s">
        <v>112</v>
      </c>
      <c r="B105" s="229"/>
      <c r="C105" s="236"/>
      <c r="D105" s="29"/>
      <c r="E105" s="2536" t="s">
        <v>1746</v>
      </c>
      <c r="F105" s="2537"/>
      <c r="G105" s="237">
        <v>5565656565</v>
      </c>
      <c r="H105" s="237">
        <v>16565656</v>
      </c>
    </row>
    <row r="106" spans="1:8" ht="16.5" thickTop="1" thickBot="1" x14ac:dyDescent="0.3">
      <c r="A106" s="1512" t="s">
        <v>35</v>
      </c>
      <c r="B106" s="1513">
        <f>SUM(B102:B105)</f>
        <v>938906898</v>
      </c>
      <c r="C106" s="1513">
        <f>SUM(C102:C105)</f>
        <v>258934000</v>
      </c>
      <c r="D106" s="29"/>
      <c r="E106" s="2536" t="s">
        <v>446</v>
      </c>
      <c r="F106" s="2537"/>
      <c r="G106" s="237">
        <v>0</v>
      </c>
      <c r="H106" s="237">
        <v>0</v>
      </c>
    </row>
    <row r="107" spans="1:8" ht="15.75" thickTop="1" thickBot="1" x14ac:dyDescent="0.25">
      <c r="A107" s="29"/>
      <c r="B107" s="29"/>
      <c r="C107" s="29"/>
      <c r="D107" s="29"/>
      <c r="E107" s="2536" t="s">
        <v>441</v>
      </c>
      <c r="F107" s="2537"/>
      <c r="G107" s="237">
        <v>0</v>
      </c>
      <c r="H107" s="237">
        <v>0</v>
      </c>
    </row>
    <row r="108" spans="1:8" ht="28.5" customHeight="1" thickTop="1" thickBot="1" x14ac:dyDescent="0.25">
      <c r="A108" s="2572" t="s">
        <v>447</v>
      </c>
      <c r="B108" s="2573"/>
      <c r="C108" s="2574"/>
      <c r="D108" s="29"/>
      <c r="E108" s="2536" t="s">
        <v>442</v>
      </c>
      <c r="F108" s="2537"/>
      <c r="G108" s="237">
        <v>0</v>
      </c>
      <c r="H108" s="237">
        <v>0</v>
      </c>
    </row>
    <row r="109" spans="1:8" ht="39" customHeight="1" thickTop="1" x14ac:dyDescent="0.2">
      <c r="A109" s="44" t="s">
        <v>111</v>
      </c>
      <c r="B109" s="45" t="s">
        <v>9</v>
      </c>
      <c r="C109" s="45" t="s">
        <v>1741</v>
      </c>
      <c r="D109" s="29"/>
      <c r="E109" s="2577" t="s">
        <v>443</v>
      </c>
      <c r="F109" s="2578"/>
      <c r="G109" s="237">
        <v>5000000000</v>
      </c>
      <c r="H109" s="237">
        <v>3875000000</v>
      </c>
    </row>
    <row r="110" spans="1:8" ht="16.5" customHeight="1" x14ac:dyDescent="0.2">
      <c r="A110" s="240">
        <v>2020</v>
      </c>
      <c r="B110" s="225">
        <v>598959565</v>
      </c>
      <c r="C110" s="239">
        <v>576000000</v>
      </c>
      <c r="D110" s="1185"/>
      <c r="E110" s="2536" t="s">
        <v>444</v>
      </c>
      <c r="F110" s="2537"/>
      <c r="G110" s="237">
        <v>0</v>
      </c>
      <c r="H110" s="238">
        <v>0</v>
      </c>
    </row>
    <row r="111" spans="1:8" ht="15.75" thickBot="1" x14ac:dyDescent="0.25">
      <c r="A111" s="240">
        <v>2021</v>
      </c>
      <c r="B111" s="225">
        <v>1655656565</v>
      </c>
      <c r="C111" s="239">
        <v>1516689898</v>
      </c>
      <c r="D111" s="29"/>
      <c r="E111" s="2544" t="s">
        <v>445</v>
      </c>
      <c r="F111" s="2545"/>
      <c r="G111" s="1514">
        <f>SUM(G102:G110)</f>
        <v>15099023463</v>
      </c>
      <c r="H111" s="1515">
        <f>SUM(H102:H110)</f>
        <v>8097695221</v>
      </c>
    </row>
    <row r="112" spans="1:8" ht="15" thickTop="1" x14ac:dyDescent="0.2">
      <c r="A112" s="240">
        <v>2022</v>
      </c>
      <c r="B112" s="225">
        <v>16465656</v>
      </c>
      <c r="C112" s="239">
        <v>16465656</v>
      </c>
      <c r="D112" s="29"/>
      <c r="E112" s="29"/>
      <c r="F112" s="29"/>
      <c r="G112" s="29"/>
    </row>
    <row r="113" spans="1:7" ht="15" thickBot="1" x14ac:dyDescent="0.25">
      <c r="A113" s="241">
        <v>2023</v>
      </c>
      <c r="B113" s="227">
        <v>565656656</v>
      </c>
      <c r="C113" s="239">
        <v>565454540</v>
      </c>
      <c r="D113" s="1191"/>
      <c r="E113" s="29"/>
      <c r="F113" s="29"/>
      <c r="G113" s="29"/>
    </row>
    <row r="114" spans="1:7" ht="16.5" thickTop="1" thickBot="1" x14ac:dyDescent="0.25">
      <c r="A114" s="46" t="s">
        <v>445</v>
      </c>
      <c r="B114" s="47">
        <f>SUM(B110:B113)</f>
        <v>2836738442</v>
      </c>
      <c r="C114" s="48">
        <f>SUM(C110:C113)</f>
        <v>2674610094</v>
      </c>
      <c r="D114" s="29"/>
      <c r="E114" s="29"/>
      <c r="F114" s="29"/>
      <c r="G114" s="29"/>
    </row>
    <row r="115" spans="1:7" ht="27.75" customHeight="1" thickTop="1" thickBot="1" x14ac:dyDescent="0.25">
      <c r="A115" s="29"/>
      <c r="B115" s="29"/>
      <c r="C115" s="29"/>
      <c r="D115" s="29"/>
      <c r="E115" s="29"/>
      <c r="F115" s="29"/>
      <c r="G115" s="29"/>
    </row>
    <row r="116" spans="1:7" ht="35.25" customHeight="1" thickTop="1" x14ac:dyDescent="0.2">
      <c r="A116" s="2538" t="s">
        <v>452</v>
      </c>
      <c r="B116" s="2539"/>
      <c r="C116" s="1516" t="s">
        <v>453</v>
      </c>
      <c r="D116" s="1517" t="s">
        <v>1739</v>
      </c>
      <c r="E116" s="1517" t="s">
        <v>1742</v>
      </c>
      <c r="F116" s="29"/>
      <c r="G116" s="29"/>
    </row>
    <row r="117" spans="1:7" ht="24.75" customHeight="1" x14ac:dyDescent="0.2">
      <c r="A117" s="2540" t="s">
        <v>454</v>
      </c>
      <c r="B117" s="2541"/>
      <c r="C117" s="1518">
        <f>D21</f>
        <v>2172366520</v>
      </c>
      <c r="D117" s="1519">
        <f>F21</f>
        <v>924307453</v>
      </c>
      <c r="E117" s="1520">
        <f>+D117/C117</f>
        <v>0.42548411812201931</v>
      </c>
      <c r="F117" s="29"/>
      <c r="G117" s="29"/>
    </row>
    <row r="118" spans="1:7" ht="38.25" customHeight="1" x14ac:dyDescent="0.2">
      <c r="A118" s="2540" t="s">
        <v>449</v>
      </c>
      <c r="B118" s="2541"/>
      <c r="C118" s="1521">
        <f>B106</f>
        <v>938906898</v>
      </c>
      <c r="D118" s="1522">
        <f>C106</f>
        <v>258934000</v>
      </c>
      <c r="E118" s="1520">
        <f>+D118/C118</f>
        <v>0.27578240244220681</v>
      </c>
      <c r="F118" s="29"/>
      <c r="G118" s="29"/>
    </row>
    <row r="119" spans="1:7" ht="43.5" customHeight="1" x14ac:dyDescent="0.2">
      <c r="A119" s="2540" t="s">
        <v>455</v>
      </c>
      <c r="B119" s="2541"/>
      <c r="C119" s="1523">
        <f>+G111</f>
        <v>15099023463</v>
      </c>
      <c r="D119" s="1522">
        <f>H111</f>
        <v>8097695221</v>
      </c>
      <c r="E119" s="1524">
        <f>+D119/C119</f>
        <v>0.53630589030100639</v>
      </c>
      <c r="F119" s="29"/>
      <c r="G119" s="29"/>
    </row>
    <row r="120" spans="1:7" ht="33.75" customHeight="1" thickBot="1" x14ac:dyDescent="0.25">
      <c r="A120" s="2542" t="s">
        <v>456</v>
      </c>
      <c r="B120" s="2543"/>
      <c r="C120" s="1525">
        <f>B114</f>
        <v>2836738442</v>
      </c>
      <c r="D120" s="1526">
        <f>C114</f>
        <v>2674610094</v>
      </c>
      <c r="E120" s="1527">
        <f>+D120/C120</f>
        <v>0.94284691686777655</v>
      </c>
      <c r="F120" s="29"/>
      <c r="G120" s="29"/>
    </row>
    <row r="121" spans="1:7" ht="20.100000000000001" customHeight="1" thickTop="1" thickBot="1" x14ac:dyDescent="0.25">
      <c r="A121" s="2534" t="s">
        <v>35</v>
      </c>
      <c r="B121" s="2535"/>
      <c r="C121" s="1528">
        <f>SUM(C117:C120)</f>
        <v>21047035323</v>
      </c>
      <c r="D121" s="1529">
        <f>SUM(D117:D120)</f>
        <v>11955546768</v>
      </c>
      <c r="E121" s="1530">
        <f>+D121/C121</f>
        <v>0.56803946895718338</v>
      </c>
      <c r="F121" s="29"/>
      <c r="G121" s="29"/>
    </row>
    <row r="122" spans="1:7" ht="15" thickTop="1" x14ac:dyDescent="0.2">
      <c r="A122" s="29"/>
      <c r="B122" s="29"/>
      <c r="C122" s="29"/>
      <c r="D122" s="29"/>
      <c r="E122" s="29"/>
      <c r="F122" s="29"/>
      <c r="G122" s="29"/>
    </row>
    <row r="123" spans="1:7" ht="15" thickBot="1" x14ac:dyDescent="0.25">
      <c r="A123" s="29"/>
      <c r="B123" s="29"/>
      <c r="C123" s="29"/>
      <c r="D123" s="29"/>
      <c r="E123" s="29"/>
      <c r="F123" s="29"/>
      <c r="G123" s="29"/>
    </row>
    <row r="124" spans="1:7" s="29" customFormat="1" ht="15" x14ac:dyDescent="0.25">
      <c r="A124" s="1531" t="s">
        <v>464</v>
      </c>
      <c r="B124" s="2558" t="s">
        <v>465</v>
      </c>
      <c r="C124" s="2559"/>
      <c r="D124" s="1532" t="s">
        <v>467</v>
      </c>
      <c r="E124" s="1533" t="s">
        <v>466</v>
      </c>
    </row>
    <row r="125" spans="1:7" s="29" customFormat="1" ht="24" customHeight="1" x14ac:dyDescent="0.2">
      <c r="A125" s="1534"/>
      <c r="B125" s="2560"/>
      <c r="C125" s="2561"/>
      <c r="D125" s="1232"/>
      <c r="E125" s="250"/>
    </row>
    <row r="126" spans="1:7" s="29" customFormat="1" ht="24" customHeight="1" x14ac:dyDescent="0.2">
      <c r="A126" s="1534"/>
      <c r="B126" s="2560"/>
      <c r="C126" s="2561"/>
      <c r="D126" s="1232"/>
      <c r="E126" s="250"/>
    </row>
    <row r="127" spans="1:7" s="29" customFormat="1" ht="24" customHeight="1" x14ac:dyDescent="0.2">
      <c r="A127" s="1534"/>
      <c r="B127" s="2560"/>
      <c r="C127" s="2561"/>
      <c r="D127" s="1232"/>
      <c r="E127" s="250"/>
    </row>
    <row r="128" spans="1:7" s="29" customFormat="1" ht="24" customHeight="1" x14ac:dyDescent="0.2">
      <c r="A128" s="1534"/>
      <c r="B128" s="2560"/>
      <c r="C128" s="2561"/>
      <c r="D128" s="1232"/>
      <c r="E128" s="250"/>
    </row>
    <row r="129" spans="1:7" s="29" customFormat="1" ht="24" customHeight="1" x14ac:dyDescent="0.2">
      <c r="A129" s="1534"/>
      <c r="B129" s="2560"/>
      <c r="C129" s="2561"/>
      <c r="D129" s="1232"/>
      <c r="E129" s="250"/>
    </row>
    <row r="130" spans="1:7" s="29" customFormat="1" ht="24" customHeight="1" x14ac:dyDescent="0.2">
      <c r="A130" s="1534"/>
      <c r="B130" s="2562"/>
      <c r="C130" s="2563"/>
      <c r="D130" s="1232"/>
      <c r="E130" s="250"/>
    </row>
    <row r="131" spans="1:7" s="29" customFormat="1" ht="24" customHeight="1" x14ac:dyDescent="0.2">
      <c r="A131" s="1534"/>
      <c r="B131" s="2562"/>
      <c r="C131" s="2563"/>
      <c r="D131" s="1232"/>
      <c r="E131" s="250"/>
    </row>
    <row r="132" spans="1:7" ht="24" customHeight="1" thickBot="1" x14ac:dyDescent="0.25">
      <c r="A132" s="33"/>
      <c r="B132" s="2564"/>
      <c r="C132" s="2565"/>
      <c r="D132" s="1231"/>
      <c r="E132" s="251"/>
      <c r="F132" s="29"/>
      <c r="G132" s="29"/>
    </row>
    <row r="133" spans="1:7" ht="15" thickBot="1" x14ac:dyDescent="0.25">
      <c r="A133" s="33"/>
      <c r="B133" s="33"/>
      <c r="C133" s="33"/>
      <c r="D133" s="51"/>
      <c r="E133" s="33"/>
      <c r="F133" s="29"/>
      <c r="G133" s="29"/>
    </row>
    <row r="134" spans="1:7" ht="18.75" customHeight="1" x14ac:dyDescent="0.25">
      <c r="A134" s="1531" t="s">
        <v>117</v>
      </c>
      <c r="B134" s="2550" t="s">
        <v>465</v>
      </c>
      <c r="C134" s="2551"/>
      <c r="D134" s="2554" t="s">
        <v>466</v>
      </c>
      <c r="E134" s="2555"/>
      <c r="F134" s="29"/>
      <c r="G134" s="29"/>
    </row>
    <row r="135" spans="1:7" ht="27.75" customHeight="1" thickBot="1" x14ac:dyDescent="0.25">
      <c r="A135" s="33"/>
      <c r="B135" s="2552"/>
      <c r="C135" s="2553"/>
      <c r="D135" s="2556"/>
      <c r="E135" s="2557"/>
      <c r="F135" s="29"/>
      <c r="G135" s="29"/>
    </row>
    <row r="136" spans="1:7" x14ac:dyDescent="0.2">
      <c r="A136" s="29"/>
      <c r="B136" s="29"/>
      <c r="C136" s="29"/>
      <c r="D136" s="29"/>
      <c r="E136" s="29"/>
      <c r="F136" s="29"/>
      <c r="G136" s="29"/>
    </row>
    <row r="137" spans="1:7" x14ac:dyDescent="0.2">
      <c r="A137" s="29"/>
      <c r="B137" s="29"/>
      <c r="C137" s="29"/>
      <c r="D137" s="29"/>
      <c r="E137" s="29"/>
      <c r="F137" s="29"/>
      <c r="G137" s="29"/>
    </row>
    <row r="138" spans="1:7" x14ac:dyDescent="0.2">
      <c r="A138" s="29"/>
      <c r="B138" s="29"/>
      <c r="C138" s="29"/>
      <c r="D138" s="29"/>
      <c r="E138" s="29"/>
      <c r="F138" s="29"/>
      <c r="G138" s="29"/>
    </row>
    <row r="139" spans="1:7" x14ac:dyDescent="0.2">
      <c r="A139" s="29"/>
      <c r="B139" s="29"/>
      <c r="C139" s="29"/>
      <c r="D139" s="29"/>
      <c r="E139" s="29"/>
      <c r="F139" s="29"/>
      <c r="G139" s="29"/>
    </row>
    <row r="140" spans="1:7" x14ac:dyDescent="0.2">
      <c r="A140" s="29"/>
      <c r="B140" s="29"/>
      <c r="C140" s="29"/>
      <c r="D140" s="29"/>
      <c r="E140" s="29"/>
      <c r="F140" s="29"/>
      <c r="G140" s="29"/>
    </row>
    <row r="141" spans="1:7" x14ac:dyDescent="0.2">
      <c r="A141" s="29"/>
      <c r="B141" s="29"/>
      <c r="C141" s="29"/>
      <c r="D141" s="29"/>
      <c r="E141" s="29"/>
      <c r="F141" s="29"/>
      <c r="G141" s="29"/>
    </row>
    <row r="142" spans="1:7" x14ac:dyDescent="0.2">
      <c r="A142" s="29"/>
      <c r="B142" s="29"/>
      <c r="C142" s="29"/>
      <c r="D142" s="29"/>
      <c r="E142" s="29"/>
      <c r="F142" s="29"/>
      <c r="G142" s="29"/>
    </row>
    <row r="143" spans="1:7" x14ac:dyDescent="0.2">
      <c r="A143" s="29"/>
      <c r="B143" s="29"/>
      <c r="C143" s="29"/>
      <c r="D143" s="29"/>
      <c r="E143" s="29"/>
      <c r="F143" s="29"/>
      <c r="G143" s="29"/>
    </row>
    <row r="144" spans="1:7" x14ac:dyDescent="0.2">
      <c r="A144" s="29"/>
      <c r="B144" s="29"/>
      <c r="C144" s="29"/>
      <c r="D144" s="29"/>
      <c r="E144" s="29"/>
      <c r="F144" s="29"/>
      <c r="G144" s="29"/>
    </row>
    <row r="145" spans="1:7" x14ac:dyDescent="0.2">
      <c r="A145" s="29"/>
      <c r="B145" s="29"/>
      <c r="C145" s="29"/>
      <c r="D145" s="29"/>
      <c r="E145" s="29"/>
      <c r="F145" s="29"/>
      <c r="G145" s="29"/>
    </row>
    <row r="146" spans="1:7" x14ac:dyDescent="0.2">
      <c r="A146" s="29"/>
      <c r="B146" s="29"/>
      <c r="C146" s="29"/>
      <c r="D146" s="29"/>
      <c r="E146" s="29"/>
      <c r="F146" s="29"/>
      <c r="G146" s="29"/>
    </row>
    <row r="147" spans="1:7" x14ac:dyDescent="0.2">
      <c r="A147" s="29"/>
      <c r="B147" s="29"/>
      <c r="C147" s="29"/>
      <c r="D147" s="29"/>
      <c r="E147" s="29"/>
      <c r="F147" s="29"/>
      <c r="G147" s="29"/>
    </row>
    <row r="148" spans="1:7" x14ac:dyDescent="0.2">
      <c r="A148" s="29"/>
      <c r="B148" s="29"/>
      <c r="C148" s="29"/>
      <c r="D148" s="29"/>
      <c r="E148" s="29"/>
      <c r="F148" s="29"/>
      <c r="G148" s="29"/>
    </row>
    <row r="149" spans="1:7" x14ac:dyDescent="0.2">
      <c r="A149" s="29"/>
      <c r="B149" s="29"/>
      <c r="C149" s="29"/>
      <c r="D149" s="29"/>
      <c r="E149" s="29"/>
      <c r="F149" s="29"/>
      <c r="G149" s="29"/>
    </row>
    <row r="150" spans="1:7" x14ac:dyDescent="0.2">
      <c r="A150" s="29"/>
      <c r="B150" s="29"/>
      <c r="C150" s="29"/>
      <c r="D150" s="29"/>
      <c r="E150" s="29"/>
      <c r="F150" s="29"/>
      <c r="G150" s="29"/>
    </row>
    <row r="151" spans="1:7" x14ac:dyDescent="0.2">
      <c r="A151" s="29"/>
      <c r="B151" s="29"/>
      <c r="C151" s="29"/>
      <c r="D151" s="29"/>
      <c r="E151" s="29"/>
      <c r="F151" s="29"/>
      <c r="G151" s="29"/>
    </row>
    <row r="152" spans="1:7" x14ac:dyDescent="0.2">
      <c r="A152" s="29"/>
      <c r="B152" s="29"/>
      <c r="C152" s="29"/>
      <c r="D152" s="29"/>
      <c r="E152" s="29"/>
      <c r="F152" s="29"/>
      <c r="G152" s="29"/>
    </row>
    <row r="153" spans="1:7" x14ac:dyDescent="0.2">
      <c r="A153" s="29"/>
      <c r="B153" s="29"/>
      <c r="C153" s="29"/>
      <c r="D153" s="29"/>
      <c r="E153" s="29"/>
      <c r="F153" s="29"/>
      <c r="G153" s="29"/>
    </row>
    <row r="154" spans="1:7" x14ac:dyDescent="0.2">
      <c r="A154" s="29"/>
      <c r="B154" s="29"/>
      <c r="C154" s="29"/>
      <c r="D154" s="29"/>
      <c r="E154" s="29"/>
      <c r="F154" s="29"/>
      <c r="G154" s="29"/>
    </row>
    <row r="155" spans="1:7" x14ac:dyDescent="0.2">
      <c r="A155" s="29"/>
      <c r="B155" s="29"/>
      <c r="C155" s="29"/>
      <c r="D155" s="29"/>
      <c r="E155" s="29"/>
      <c r="F155" s="29"/>
      <c r="G155" s="29"/>
    </row>
    <row r="156" spans="1:7" x14ac:dyDescent="0.2">
      <c r="A156" s="29"/>
      <c r="B156" s="29"/>
      <c r="C156" s="29"/>
      <c r="D156" s="29"/>
      <c r="E156" s="29"/>
      <c r="F156" s="29"/>
      <c r="G156" s="29"/>
    </row>
    <row r="157" spans="1:7" x14ac:dyDescent="0.2">
      <c r="A157" s="29"/>
      <c r="B157" s="29"/>
      <c r="C157" s="29"/>
      <c r="D157" s="29"/>
      <c r="E157" s="29"/>
      <c r="F157" s="29"/>
      <c r="G157" s="29"/>
    </row>
    <row r="158" spans="1:7" x14ac:dyDescent="0.2">
      <c r="A158" s="29"/>
      <c r="B158" s="29"/>
      <c r="C158" s="29"/>
      <c r="D158" s="29"/>
      <c r="E158" s="29"/>
      <c r="F158" s="29"/>
      <c r="G158" s="29"/>
    </row>
    <row r="159" spans="1:7" x14ac:dyDescent="0.2">
      <c r="A159" s="29"/>
      <c r="B159" s="29"/>
      <c r="C159" s="29"/>
      <c r="D159" s="29"/>
      <c r="E159" s="29"/>
      <c r="F159" s="29"/>
      <c r="G159" s="29"/>
    </row>
    <row r="160" spans="1:7" x14ac:dyDescent="0.2">
      <c r="A160" s="29"/>
      <c r="B160" s="29"/>
      <c r="C160" s="29"/>
      <c r="D160" s="29"/>
      <c r="E160" s="29"/>
      <c r="F160" s="29"/>
      <c r="G160" s="29"/>
    </row>
    <row r="161" spans="1:7" x14ac:dyDescent="0.2">
      <c r="A161" s="29"/>
      <c r="B161" s="29"/>
      <c r="C161" s="29"/>
      <c r="D161" s="29"/>
      <c r="E161" s="29"/>
      <c r="F161" s="29"/>
      <c r="G161" s="29"/>
    </row>
    <row r="162" spans="1:7" x14ac:dyDescent="0.2">
      <c r="A162" s="29"/>
      <c r="B162" s="29"/>
      <c r="C162" s="29"/>
      <c r="D162" s="29"/>
      <c r="E162" s="29"/>
      <c r="F162" s="29"/>
      <c r="G162" s="29"/>
    </row>
    <row r="163" spans="1:7" x14ac:dyDescent="0.2">
      <c r="A163" s="29"/>
      <c r="B163" s="29"/>
      <c r="C163" s="29"/>
      <c r="D163" s="29"/>
      <c r="E163" s="29"/>
      <c r="F163" s="29"/>
      <c r="G163" s="29"/>
    </row>
    <row r="164" spans="1:7" x14ac:dyDescent="0.2">
      <c r="A164" s="29"/>
      <c r="B164" s="29"/>
      <c r="C164" s="29"/>
      <c r="D164" s="29"/>
      <c r="E164" s="29"/>
      <c r="F164" s="29"/>
      <c r="G164" s="29"/>
    </row>
    <row r="165" spans="1:7" x14ac:dyDescent="0.2">
      <c r="A165" s="29"/>
      <c r="B165" s="29"/>
      <c r="C165" s="29"/>
      <c r="D165" s="29"/>
      <c r="E165" s="29"/>
      <c r="F165" s="29"/>
      <c r="G165" s="29"/>
    </row>
    <row r="166" spans="1:7" x14ac:dyDescent="0.2">
      <c r="A166" s="29"/>
      <c r="B166" s="29"/>
      <c r="C166" s="29"/>
      <c r="D166" s="29"/>
      <c r="E166" s="29"/>
      <c r="F166" s="29"/>
      <c r="G166" s="29"/>
    </row>
    <row r="167" spans="1:7" x14ac:dyDescent="0.2">
      <c r="A167" s="29"/>
      <c r="B167" s="29"/>
      <c r="C167" s="29"/>
      <c r="D167" s="29"/>
      <c r="E167" s="29"/>
      <c r="F167" s="29"/>
      <c r="G167" s="29"/>
    </row>
    <row r="168" spans="1:7" x14ac:dyDescent="0.2">
      <c r="A168" s="29"/>
      <c r="B168" s="29"/>
      <c r="C168" s="29"/>
      <c r="D168" s="29"/>
      <c r="E168" s="29"/>
      <c r="F168" s="29"/>
      <c r="G168" s="29"/>
    </row>
    <row r="169" spans="1:7" x14ac:dyDescent="0.2">
      <c r="A169" s="29"/>
      <c r="B169" s="29"/>
      <c r="C169" s="29"/>
      <c r="D169" s="29"/>
      <c r="E169" s="29"/>
      <c r="F169" s="29"/>
      <c r="G169" s="29"/>
    </row>
    <row r="170" spans="1:7" x14ac:dyDescent="0.2">
      <c r="A170" s="29"/>
      <c r="B170" s="29"/>
      <c r="C170" s="29"/>
      <c r="D170" s="29"/>
      <c r="E170" s="29"/>
      <c r="F170" s="29"/>
      <c r="G170" s="29"/>
    </row>
    <row r="171" spans="1:7" x14ac:dyDescent="0.2">
      <c r="A171" s="29"/>
      <c r="B171" s="29"/>
      <c r="C171" s="29"/>
      <c r="D171" s="29"/>
      <c r="E171" s="29"/>
      <c r="F171" s="29"/>
      <c r="G171" s="29"/>
    </row>
    <row r="172" spans="1:7" x14ac:dyDescent="0.2">
      <c r="A172" s="29"/>
      <c r="B172" s="29"/>
      <c r="C172" s="29"/>
      <c r="D172" s="29"/>
      <c r="E172" s="29"/>
      <c r="F172" s="29"/>
      <c r="G172" s="29"/>
    </row>
    <row r="173" spans="1:7" x14ac:dyDescent="0.2">
      <c r="A173" s="29"/>
      <c r="B173" s="29"/>
      <c r="C173" s="29"/>
      <c r="D173" s="29"/>
      <c r="E173" s="29"/>
      <c r="F173" s="29"/>
      <c r="G173" s="29"/>
    </row>
    <row r="174" spans="1:7" x14ac:dyDescent="0.2">
      <c r="A174" s="29"/>
      <c r="B174" s="29"/>
      <c r="C174" s="29"/>
      <c r="D174" s="29"/>
      <c r="E174" s="29"/>
      <c r="F174" s="29"/>
      <c r="G174" s="29"/>
    </row>
    <row r="175" spans="1:7" x14ac:dyDescent="0.2">
      <c r="A175" s="29"/>
      <c r="B175" s="29"/>
      <c r="C175" s="29"/>
      <c r="D175" s="29"/>
      <c r="E175" s="29"/>
      <c r="F175" s="29"/>
      <c r="G175" s="29"/>
    </row>
    <row r="176" spans="1:7" x14ac:dyDescent="0.2">
      <c r="A176" s="29"/>
      <c r="B176" s="29"/>
      <c r="C176" s="29"/>
      <c r="D176" s="29"/>
      <c r="E176" s="29"/>
      <c r="F176" s="29"/>
      <c r="G176" s="29"/>
    </row>
    <row r="177" spans="1:7" x14ac:dyDescent="0.2">
      <c r="A177" s="29"/>
      <c r="B177" s="29"/>
      <c r="C177" s="29"/>
      <c r="D177" s="29"/>
      <c r="E177" s="29"/>
      <c r="F177" s="29"/>
      <c r="G177" s="29"/>
    </row>
    <row r="178" spans="1:7" x14ac:dyDescent="0.2">
      <c r="A178" s="29"/>
      <c r="B178" s="29"/>
      <c r="C178" s="29"/>
      <c r="D178" s="29"/>
      <c r="E178" s="29"/>
      <c r="F178" s="29"/>
      <c r="G178" s="29"/>
    </row>
    <row r="179" spans="1:7" x14ac:dyDescent="0.2">
      <c r="A179" s="29"/>
      <c r="B179" s="29"/>
      <c r="C179" s="29"/>
      <c r="D179" s="29"/>
      <c r="E179" s="29"/>
      <c r="F179" s="29"/>
      <c r="G179" s="29"/>
    </row>
    <row r="180" spans="1:7" x14ac:dyDescent="0.2">
      <c r="A180" s="29"/>
      <c r="B180" s="29"/>
      <c r="C180" s="29"/>
      <c r="D180" s="29"/>
      <c r="E180" s="29"/>
      <c r="F180" s="29"/>
      <c r="G180" s="29"/>
    </row>
    <row r="181" spans="1:7" x14ac:dyDescent="0.2">
      <c r="A181" s="29"/>
      <c r="B181" s="29"/>
      <c r="C181" s="29"/>
      <c r="D181" s="29"/>
      <c r="E181" s="29"/>
      <c r="F181" s="29"/>
      <c r="G181" s="29"/>
    </row>
    <row r="182" spans="1:7" x14ac:dyDescent="0.2">
      <c r="A182" s="29"/>
      <c r="B182" s="29"/>
      <c r="C182" s="29"/>
      <c r="D182" s="29"/>
      <c r="E182" s="29"/>
      <c r="F182" s="29"/>
      <c r="G182" s="29"/>
    </row>
    <row r="183" spans="1:7" x14ac:dyDescent="0.2">
      <c r="A183" s="29"/>
      <c r="B183" s="29"/>
      <c r="C183" s="29"/>
      <c r="D183" s="29"/>
      <c r="E183" s="29"/>
      <c r="F183" s="29"/>
      <c r="G183" s="29"/>
    </row>
    <row r="184" spans="1:7" x14ac:dyDescent="0.2">
      <c r="A184" s="29"/>
      <c r="B184" s="29"/>
      <c r="C184" s="29"/>
      <c r="D184" s="29"/>
      <c r="E184" s="29"/>
      <c r="F184" s="29"/>
      <c r="G184" s="29"/>
    </row>
    <row r="185" spans="1:7" x14ac:dyDescent="0.2">
      <c r="A185" s="29"/>
      <c r="B185" s="29"/>
      <c r="C185" s="29"/>
      <c r="D185" s="29"/>
      <c r="E185" s="29"/>
      <c r="F185" s="29"/>
      <c r="G185" s="29"/>
    </row>
    <row r="186" spans="1:7" x14ac:dyDescent="0.2">
      <c r="A186" s="29"/>
      <c r="B186" s="29"/>
      <c r="C186" s="29"/>
      <c r="D186" s="29"/>
      <c r="E186" s="29"/>
      <c r="F186" s="29"/>
      <c r="G186" s="29"/>
    </row>
    <row r="187" spans="1:7" x14ac:dyDescent="0.2">
      <c r="A187" s="29"/>
      <c r="B187" s="29"/>
      <c r="C187" s="29"/>
      <c r="D187" s="29"/>
      <c r="E187" s="29"/>
      <c r="F187" s="29"/>
      <c r="G187" s="29"/>
    </row>
    <row r="188" spans="1:7" x14ac:dyDescent="0.2">
      <c r="A188" s="29"/>
      <c r="B188" s="29"/>
      <c r="C188" s="29"/>
      <c r="D188" s="29"/>
      <c r="E188" s="29"/>
      <c r="F188" s="29"/>
      <c r="G188" s="29"/>
    </row>
    <row r="189" spans="1:7" x14ac:dyDescent="0.2">
      <c r="A189" s="29"/>
      <c r="B189" s="29"/>
      <c r="C189" s="29"/>
      <c r="D189" s="29"/>
      <c r="E189" s="29"/>
      <c r="F189" s="29"/>
      <c r="G189" s="29"/>
    </row>
    <row r="190" spans="1:7" x14ac:dyDescent="0.2">
      <c r="A190" s="29"/>
      <c r="B190" s="29"/>
      <c r="C190" s="29"/>
      <c r="D190" s="29"/>
      <c r="E190" s="29"/>
      <c r="F190" s="29"/>
      <c r="G190" s="29"/>
    </row>
    <row r="191" spans="1:7" x14ac:dyDescent="0.2">
      <c r="A191" s="29"/>
      <c r="B191" s="29"/>
      <c r="C191" s="29"/>
      <c r="D191" s="29"/>
      <c r="E191" s="29"/>
      <c r="F191" s="29"/>
      <c r="G191" s="29"/>
    </row>
    <row r="192" spans="1:7" x14ac:dyDescent="0.2">
      <c r="A192" s="29"/>
      <c r="B192" s="29"/>
      <c r="C192" s="29"/>
      <c r="D192" s="29"/>
      <c r="E192" s="29"/>
      <c r="F192" s="29"/>
      <c r="G192" s="29"/>
    </row>
    <row r="193" spans="1:7" x14ac:dyDescent="0.2">
      <c r="A193" s="29"/>
      <c r="B193" s="29"/>
      <c r="C193" s="29"/>
      <c r="D193" s="29"/>
      <c r="E193" s="29"/>
      <c r="F193" s="29"/>
      <c r="G193" s="29"/>
    </row>
    <row r="194" spans="1:7" x14ac:dyDescent="0.2">
      <c r="A194" s="29"/>
      <c r="B194" s="29"/>
      <c r="C194" s="29"/>
      <c r="D194" s="29"/>
      <c r="E194" s="29"/>
      <c r="F194" s="29"/>
      <c r="G194" s="29"/>
    </row>
    <row r="195" spans="1:7" x14ac:dyDescent="0.2">
      <c r="A195" s="29"/>
      <c r="B195" s="29"/>
      <c r="C195" s="29"/>
      <c r="D195" s="29"/>
      <c r="E195" s="29"/>
      <c r="F195" s="29"/>
      <c r="G195" s="29"/>
    </row>
    <row r="196" spans="1:7" x14ac:dyDescent="0.2">
      <c r="A196" s="29"/>
      <c r="B196" s="29"/>
      <c r="C196" s="29"/>
      <c r="D196" s="29"/>
      <c r="E196" s="29"/>
      <c r="F196" s="29"/>
      <c r="G196" s="29"/>
    </row>
    <row r="197" spans="1:7" x14ac:dyDescent="0.2">
      <c r="A197" s="29"/>
      <c r="B197" s="29"/>
      <c r="C197" s="29"/>
      <c r="D197" s="29"/>
      <c r="E197" s="29"/>
      <c r="F197" s="29"/>
      <c r="G197" s="29"/>
    </row>
    <row r="198" spans="1:7" x14ac:dyDescent="0.2">
      <c r="A198" s="29"/>
      <c r="B198" s="29"/>
      <c r="C198" s="29"/>
      <c r="D198" s="29"/>
      <c r="E198" s="29"/>
      <c r="F198" s="29"/>
      <c r="G198" s="29"/>
    </row>
    <row r="199" spans="1:7" x14ac:dyDescent="0.2">
      <c r="A199" s="29"/>
      <c r="B199" s="29"/>
      <c r="C199" s="29"/>
      <c r="D199" s="29"/>
      <c r="E199" s="29"/>
      <c r="F199" s="29"/>
      <c r="G199" s="29"/>
    </row>
    <row r="200" spans="1:7" x14ac:dyDescent="0.2">
      <c r="A200" s="29"/>
      <c r="B200" s="29"/>
      <c r="C200" s="29"/>
      <c r="D200" s="29"/>
      <c r="E200" s="29"/>
      <c r="F200" s="29"/>
      <c r="G200" s="29"/>
    </row>
    <row r="201" spans="1:7" x14ac:dyDescent="0.2">
      <c r="A201" s="29"/>
      <c r="B201" s="29"/>
      <c r="C201" s="29"/>
      <c r="D201" s="29"/>
      <c r="E201" s="29"/>
      <c r="F201" s="29"/>
      <c r="G201" s="29"/>
    </row>
  </sheetData>
  <sheetProtection algorithmName="SHA-512" hashValue="1kbYUmN11eD4K+9c4nojN9It+lppGQWEZmcOxwEhESKMWBMZDACDGYpXNlcDIv75hP249R3gexw4Manl01JjPQ==" saltValue="tTQ4iQmt98rXOEJoK8qMAw==" spinCount="100000" sheet="1" formatRows="0" insertRows="0" pivotTables="0"/>
  <mergeCells count="131">
    <mergeCell ref="A2:G2"/>
    <mergeCell ref="A10:B10"/>
    <mergeCell ref="A11:B11"/>
    <mergeCell ref="A12:B12"/>
    <mergeCell ref="A13:B13"/>
    <mergeCell ref="B3:E3"/>
    <mergeCell ref="B4:E4"/>
    <mergeCell ref="B1:F1"/>
    <mergeCell ref="A14:B14"/>
    <mergeCell ref="A15:B15"/>
    <mergeCell ref="B5:C5"/>
    <mergeCell ref="B6:C6"/>
    <mergeCell ref="A8:G8"/>
    <mergeCell ref="A9:B9"/>
    <mergeCell ref="A24:B24"/>
    <mergeCell ref="A25:B25"/>
    <mergeCell ref="A26:B26"/>
    <mergeCell ref="A27:B27"/>
    <mergeCell ref="A28:B28"/>
    <mergeCell ref="A29:B29"/>
    <mergeCell ref="A16:B16"/>
    <mergeCell ref="A17:B17"/>
    <mergeCell ref="A18:B18"/>
    <mergeCell ref="A19:B19"/>
    <mergeCell ref="A20:B20"/>
    <mergeCell ref="A21:B21"/>
    <mergeCell ref="A22:G22"/>
    <mergeCell ref="A23:G23"/>
    <mergeCell ref="A36:B36"/>
    <mergeCell ref="A37:B37"/>
    <mergeCell ref="A38:B38"/>
    <mergeCell ref="A39:B39"/>
    <mergeCell ref="A40:B40"/>
    <mergeCell ref="A41:B41"/>
    <mergeCell ref="A30:B30"/>
    <mergeCell ref="A31:B31"/>
    <mergeCell ref="A32:B32"/>
    <mergeCell ref="A33:B33"/>
    <mergeCell ref="A34:B34"/>
    <mergeCell ref="A35:B35"/>
    <mergeCell ref="A48:B48"/>
    <mergeCell ref="A49:B49"/>
    <mergeCell ref="A50:B50"/>
    <mergeCell ref="A51:B51"/>
    <mergeCell ref="A52:B52"/>
    <mergeCell ref="A53:B53"/>
    <mergeCell ref="A42:B42"/>
    <mergeCell ref="A43:B43"/>
    <mergeCell ref="A44:B44"/>
    <mergeCell ref="A45:B45"/>
    <mergeCell ref="A46:B46"/>
    <mergeCell ref="A47:B47"/>
    <mergeCell ref="A60:B60"/>
    <mergeCell ref="A61:B61"/>
    <mergeCell ref="A62:B62"/>
    <mergeCell ref="A63:B63"/>
    <mergeCell ref="A64:B64"/>
    <mergeCell ref="A65:B65"/>
    <mergeCell ref="A54:B54"/>
    <mergeCell ref="A55:B55"/>
    <mergeCell ref="A56:B56"/>
    <mergeCell ref="A57:B57"/>
    <mergeCell ref="A58:B58"/>
    <mergeCell ref="A59:B59"/>
    <mergeCell ref="H100:H101"/>
    <mergeCell ref="A66:B66"/>
    <mergeCell ref="A67:B67"/>
    <mergeCell ref="A68:B68"/>
    <mergeCell ref="A69:B69"/>
    <mergeCell ref="A70:B70"/>
    <mergeCell ref="A71:B71"/>
    <mergeCell ref="A78:B78"/>
    <mergeCell ref="A79:B79"/>
    <mergeCell ref="A80:B80"/>
    <mergeCell ref="G100:G101"/>
    <mergeCell ref="A83:B83"/>
    <mergeCell ref="A72:B72"/>
    <mergeCell ref="A73:B73"/>
    <mergeCell ref="A74:B74"/>
    <mergeCell ref="A75:B75"/>
    <mergeCell ref="A76:B76"/>
    <mergeCell ref="A77:B77"/>
    <mergeCell ref="A81:B81"/>
    <mergeCell ref="A82:B82"/>
    <mergeCell ref="A84:B84"/>
    <mergeCell ref="A85:B85"/>
    <mergeCell ref="A86:B86"/>
    <mergeCell ref="A87:B87"/>
    <mergeCell ref="A88:B88"/>
    <mergeCell ref="A89:B89"/>
    <mergeCell ref="E107:F107"/>
    <mergeCell ref="E108:F108"/>
    <mergeCell ref="E110:F110"/>
    <mergeCell ref="A96:B96"/>
    <mergeCell ref="A97:B97"/>
    <mergeCell ref="A90:B90"/>
    <mergeCell ref="A91:B91"/>
    <mergeCell ref="A92:B92"/>
    <mergeCell ref="A93:B93"/>
    <mergeCell ref="A94:B94"/>
    <mergeCell ref="A95:B95"/>
    <mergeCell ref="A108:C108"/>
    <mergeCell ref="A100:C100"/>
    <mergeCell ref="E102:F102"/>
    <mergeCell ref="E109:F109"/>
    <mergeCell ref="E103:F103"/>
    <mergeCell ref="E104:F104"/>
    <mergeCell ref="E105:F105"/>
    <mergeCell ref="A98:G98"/>
    <mergeCell ref="B134:C134"/>
    <mergeCell ref="B135:C135"/>
    <mergeCell ref="D134:E134"/>
    <mergeCell ref="D135:E135"/>
    <mergeCell ref="B124:C124"/>
    <mergeCell ref="B125:C125"/>
    <mergeCell ref="B130:C130"/>
    <mergeCell ref="B131:C131"/>
    <mergeCell ref="B132:C132"/>
    <mergeCell ref="B126:C126"/>
    <mergeCell ref="B127:C127"/>
    <mergeCell ref="B128:C128"/>
    <mergeCell ref="B129:C129"/>
    <mergeCell ref="A121:B121"/>
    <mergeCell ref="E106:F106"/>
    <mergeCell ref="A116:B116"/>
    <mergeCell ref="A117:B117"/>
    <mergeCell ref="A118:B118"/>
    <mergeCell ref="A119:B119"/>
    <mergeCell ref="A120:B120"/>
    <mergeCell ref="E111:F111"/>
    <mergeCell ref="E100:F101"/>
  </mergeCells>
  <conditionalFormatting sqref="B1">
    <cfRule type="cellIs" dxfId="93" priority="1" operator="equal">
      <formula>"ERROR"</formula>
    </cfRule>
  </conditionalFormatting>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86"/>
  <sheetViews>
    <sheetView showGridLines="0" zoomScaleNormal="100" workbookViewId="0">
      <selection activeCell="A11" sqref="A11"/>
    </sheetView>
  </sheetViews>
  <sheetFormatPr baseColWidth="10" defaultColWidth="11.42578125" defaultRowHeight="13.9" customHeight="1" x14ac:dyDescent="0.2"/>
  <cols>
    <col min="1" max="1" width="3.42578125" style="11" customWidth="1"/>
    <col min="2" max="2" width="34" style="11" customWidth="1"/>
    <col min="3" max="3" width="33.85546875" style="11" customWidth="1"/>
    <col min="4" max="4" width="32.7109375" style="11" customWidth="1"/>
    <col min="5" max="5" width="27.85546875" style="11" customWidth="1"/>
    <col min="6" max="6" width="34.85546875" style="11" customWidth="1"/>
    <col min="7" max="7" width="36.140625" style="11" customWidth="1"/>
    <col min="8" max="8" width="41.140625" style="11" customWidth="1"/>
    <col min="9" max="9" width="59.42578125" style="11" customWidth="1"/>
    <col min="10" max="10" width="29" style="11" customWidth="1"/>
    <col min="11" max="11" width="20.28515625" style="11" customWidth="1"/>
    <col min="12" max="12" width="25.5703125" style="11" customWidth="1"/>
    <col min="13" max="13" width="14.5703125" style="11" customWidth="1"/>
    <col min="14" max="14" width="26.42578125" style="11" customWidth="1"/>
    <col min="15" max="15" width="19.42578125" style="11" customWidth="1"/>
    <col min="16" max="17" width="11.42578125" style="11" customWidth="1"/>
    <col min="18" max="18" width="8.42578125" style="11" customWidth="1"/>
    <col min="19" max="20" width="11.42578125" style="11" customWidth="1"/>
    <col min="21" max="21" width="7.42578125" style="11" customWidth="1"/>
    <col min="22" max="26" width="11.42578125" style="11" customWidth="1"/>
    <col min="27" max="16384" width="11.42578125" style="11"/>
  </cols>
  <sheetData>
    <row r="1" spans="1:10" ht="81.75" customHeight="1" x14ac:dyDescent="0.25">
      <c r="A1" s="1985"/>
      <c r="B1" s="1985"/>
      <c r="C1" s="2627" t="s">
        <v>1756</v>
      </c>
      <c r="D1" s="2627"/>
      <c r="E1" s="2627"/>
      <c r="F1" s="1213" t="s">
        <v>1939</v>
      </c>
      <c r="I1" s="49"/>
    </row>
    <row r="2" spans="1:10" ht="32.25" customHeight="1" x14ac:dyDescent="0.2">
      <c r="A2" s="2276"/>
      <c r="B2" s="2276"/>
      <c r="C2" s="2276"/>
      <c r="D2" s="2276"/>
      <c r="E2" s="2276"/>
      <c r="F2" s="2276"/>
      <c r="J2" s="50"/>
    </row>
    <row r="3" spans="1:10" ht="10.5" customHeight="1" x14ac:dyDescent="0.2">
      <c r="E3" s="9"/>
      <c r="F3" s="51"/>
      <c r="J3" s="50"/>
    </row>
    <row r="4" spans="1:10" ht="20.100000000000001" customHeight="1" x14ac:dyDescent="0.2">
      <c r="B4" s="10" t="s">
        <v>118</v>
      </c>
      <c r="C4" s="2600" t="str">
        <f>+FENECIMIENTO!D4</f>
        <v xml:space="preserve">150000 - DIRECCIÓN SECTOR HACIENDA </v>
      </c>
      <c r="D4" s="2600"/>
      <c r="E4" s="2600"/>
      <c r="F4" s="2600"/>
      <c r="J4" s="50"/>
    </row>
    <row r="5" spans="1:10" ht="20.100000000000001" customHeight="1" x14ac:dyDescent="0.2">
      <c r="B5" s="11" t="s">
        <v>1</v>
      </c>
      <c r="C5" s="2638" t="str">
        <f>+FENECIMIENTO!D5</f>
        <v xml:space="preserve">206 - Fondo de Prestaciones Económicas, Cesantías y Pensiones – FONCEP </v>
      </c>
      <c r="D5" s="2629"/>
      <c r="E5" s="2629"/>
      <c r="F5" s="2629"/>
      <c r="J5" s="50"/>
    </row>
    <row r="6" spans="1:10" ht="20.100000000000001" customHeight="1" x14ac:dyDescent="0.2">
      <c r="B6" s="1136" t="s">
        <v>1683</v>
      </c>
      <c r="C6" s="2629">
        <f>+'ANALÍTICA PRESUPUESTAL'!B9</f>
        <v>2025</v>
      </c>
      <c r="D6" s="2629"/>
      <c r="E6" s="16" t="s">
        <v>121</v>
      </c>
      <c r="F6" s="26">
        <f>+FENECIMIENTO!K5</f>
        <v>2024</v>
      </c>
      <c r="J6" s="50"/>
    </row>
    <row r="7" spans="1:10" ht="20.100000000000001" customHeight="1" x14ac:dyDescent="0.2">
      <c r="B7" s="11" t="s">
        <v>3</v>
      </c>
      <c r="C7" s="2629">
        <f>+FENECIMIENTO!K6</f>
        <v>87</v>
      </c>
      <c r="D7" s="2629"/>
      <c r="E7" s="16"/>
      <c r="J7" s="50"/>
    </row>
    <row r="8" spans="1:10" ht="20.100000000000001" customHeight="1" x14ac:dyDescent="0.2">
      <c r="B8" s="11" t="s">
        <v>4</v>
      </c>
      <c r="C8" s="2630">
        <f>+FENECIMIENTO!D7</f>
        <v>45693</v>
      </c>
      <c r="D8" s="2631"/>
      <c r="E8" s="16" t="s">
        <v>122</v>
      </c>
      <c r="F8" s="1137">
        <f>+FENECIMIENTO!K7</f>
        <v>45693</v>
      </c>
      <c r="J8" s="50"/>
    </row>
    <row r="9" spans="1:10" ht="13.9" customHeight="1" x14ac:dyDescent="0.2">
      <c r="E9" s="51"/>
      <c r="F9" s="51"/>
      <c r="J9" s="50"/>
    </row>
    <row r="10" spans="1:10" ht="13.9" customHeight="1" x14ac:dyDescent="0.2">
      <c r="B10" s="2628" t="s">
        <v>1752</v>
      </c>
      <c r="C10" s="2628"/>
      <c r="D10" s="2628"/>
      <c r="E10" s="2628"/>
      <c r="F10" s="2628"/>
      <c r="G10" s="51"/>
      <c r="J10" s="50"/>
    </row>
    <row r="11" spans="1:10" ht="13.9" customHeight="1" x14ac:dyDescent="0.25">
      <c r="E11" s="52"/>
      <c r="F11" s="51"/>
    </row>
    <row r="12" spans="1:10" ht="13.9" customHeight="1" x14ac:dyDescent="0.25">
      <c r="B12" s="991" t="s">
        <v>450</v>
      </c>
      <c r="C12" s="49"/>
    </row>
    <row r="13" spans="1:10" ht="13.9" customHeight="1" thickBot="1" x14ac:dyDescent="0.25">
      <c r="B13" s="53"/>
      <c r="C13" s="53"/>
      <c r="D13" s="53"/>
    </row>
    <row r="14" spans="1:10" ht="19.5" customHeight="1" thickTop="1" x14ac:dyDescent="0.25">
      <c r="A14" s="54"/>
      <c r="B14" s="2639" t="s">
        <v>451</v>
      </c>
      <c r="C14" s="2640"/>
      <c r="D14" s="28" t="s">
        <v>123</v>
      </c>
      <c r="E14" s="55"/>
    </row>
    <row r="15" spans="1:10" ht="30" customHeight="1" x14ac:dyDescent="0.25">
      <c r="A15" s="199" t="b">
        <v>0</v>
      </c>
      <c r="B15" s="2636"/>
      <c r="C15" s="2637"/>
      <c r="D15" s="1198">
        <f>IF(A15,'ANALÍTICAS GASTO PÚBLICO'!D119,0)</f>
        <v>0</v>
      </c>
      <c r="E15" s="55"/>
      <c r="F15" s="55"/>
      <c r="J15" s="49"/>
    </row>
    <row r="16" spans="1:10" ht="29.25" customHeight="1" x14ac:dyDescent="0.25">
      <c r="A16" s="200" t="b">
        <v>1</v>
      </c>
      <c r="B16" s="2632"/>
      <c r="C16" s="2633"/>
      <c r="D16" s="243">
        <f>IF(A16,'ANALÍTICAS GASTO PÚBLICO'!F21,0)</f>
        <v>924307453</v>
      </c>
      <c r="E16" s="56"/>
      <c r="F16" s="55"/>
      <c r="J16" s="49"/>
    </row>
    <row r="17" spans="1:10" ht="29.25" customHeight="1" x14ac:dyDescent="0.25">
      <c r="A17" s="200" t="b">
        <v>1</v>
      </c>
      <c r="B17" s="2632"/>
      <c r="C17" s="2633"/>
      <c r="D17" s="243">
        <f>IF(A17,'ANALÍTICAS GASTO PÚBLICO'!C106,0)</f>
        <v>258934000</v>
      </c>
      <c r="E17" s="56"/>
      <c r="F17" s="55"/>
      <c r="J17" s="49"/>
    </row>
    <row r="18" spans="1:10" ht="29.25" customHeight="1" thickBot="1" x14ac:dyDescent="0.3">
      <c r="A18" s="200" t="b">
        <v>1</v>
      </c>
      <c r="B18" s="2634"/>
      <c r="C18" s="2635"/>
      <c r="D18" s="244">
        <f>IF(A18,'ANALÍTICAS GASTO PÚBLICO'!C114,0)</f>
        <v>2674610094</v>
      </c>
      <c r="E18" s="56"/>
      <c r="F18" s="55"/>
      <c r="J18" s="49"/>
    </row>
    <row r="19" spans="1:10" ht="29.25" customHeight="1" thickTop="1" thickBot="1" x14ac:dyDescent="0.3">
      <c r="A19" s="54"/>
      <c r="B19" s="2616" t="s">
        <v>35</v>
      </c>
      <c r="C19" s="2617"/>
      <c r="D19" s="245">
        <f>SUM(D15:D18)</f>
        <v>3857851547</v>
      </c>
      <c r="E19" s="56"/>
      <c r="F19" s="55"/>
      <c r="J19" s="49"/>
    </row>
    <row r="20" spans="1:10" ht="18.75" customHeight="1" thickTop="1" x14ac:dyDescent="0.25">
      <c r="B20" s="27"/>
      <c r="C20" s="27"/>
      <c r="D20" s="27"/>
      <c r="E20" s="56"/>
      <c r="F20" s="55"/>
      <c r="J20" s="49"/>
    </row>
    <row r="21" spans="1:10" ht="16.5" customHeight="1" x14ac:dyDescent="0.25">
      <c r="B21" s="2625"/>
      <c r="C21" s="2625"/>
      <c r="D21" s="2625"/>
      <c r="E21" s="56"/>
      <c r="F21" s="55"/>
      <c r="J21" s="49"/>
    </row>
    <row r="22" spans="1:10" ht="24" customHeight="1" x14ac:dyDescent="0.2">
      <c r="C22" s="2626" t="s">
        <v>124</v>
      </c>
      <c r="D22" s="2626"/>
      <c r="E22" s="2626"/>
      <c r="F22" s="57" t="s">
        <v>125</v>
      </c>
    </row>
    <row r="23" spans="1:10" ht="78.75" customHeight="1" x14ac:dyDescent="0.2">
      <c r="B23" s="246" t="s">
        <v>440</v>
      </c>
      <c r="C23" s="17" t="s">
        <v>126</v>
      </c>
      <c r="D23" s="18" t="s">
        <v>127</v>
      </c>
      <c r="E23" s="17" t="s">
        <v>128</v>
      </c>
      <c r="F23" s="18" t="s">
        <v>129</v>
      </c>
    </row>
    <row r="24" spans="1:10" ht="50.25" customHeight="1" x14ac:dyDescent="0.2">
      <c r="B24" s="19" t="str">
        <f>IFERROR(IF(D24="No hay",VLOOKUP(SUM(C25:F25),TablaMuestra[[Mínimo SIN Concepto Vig Anterior]:[Riesgo de Control]],2,TRUE),VLOOKUP(SUM(C25:F25),TablaMuestra[],3,TRUE)),"")</f>
        <v>MEDIO</v>
      </c>
      <c r="C24" s="20" t="s">
        <v>142</v>
      </c>
      <c r="D24" s="21" t="s">
        <v>146</v>
      </c>
      <c r="E24" s="21" t="s">
        <v>132</v>
      </c>
      <c r="F24" s="21" t="s">
        <v>152</v>
      </c>
    </row>
    <row r="25" spans="1:10" ht="18.75" customHeight="1" x14ac:dyDescent="0.2">
      <c r="B25" s="22" t="str">
        <f>_xlfn.IFNA(CONCATENATE("TOTAL :  ",SUM(C25:F25)),"")</f>
        <v>TOTAL :  10</v>
      </c>
      <c r="C25" s="22">
        <f>_xlfn.IFNA(VLOOKUP(C24,Hallazgos_anterior[],2,FALSE),"")</f>
        <v>3</v>
      </c>
      <c r="D25" s="22">
        <f>_xlfn.IFNA(VLOOKUP(D24,Concepto_anterior[],2,FALSE),"")</f>
        <v>1</v>
      </c>
      <c r="E25" s="22">
        <f>_xlfn.IFNA(VLOOKUP(E24,Diseño_Control[],2,FALSE),"")</f>
        <v>2</v>
      </c>
      <c r="F25" s="22">
        <f>_xlfn.IFNA(VLOOKUP(F24,Riesgo_residual[],2,FALSE),"")</f>
        <v>4</v>
      </c>
    </row>
    <row r="26" spans="1:10" ht="13.9" customHeight="1" x14ac:dyDescent="0.2">
      <c r="B26" s="2613"/>
      <c r="C26" s="2613"/>
      <c r="D26" s="2613"/>
      <c r="E26" s="2613"/>
      <c r="F26" s="2613"/>
    </row>
    <row r="27" spans="1:10" ht="19.5" customHeight="1" x14ac:dyDescent="0.2">
      <c r="B27" s="2620"/>
      <c r="C27" s="2620"/>
      <c r="D27" s="2620"/>
      <c r="E27" s="2620"/>
      <c r="F27" s="2620"/>
    </row>
    <row r="28" spans="1:10" ht="26.25" customHeight="1" x14ac:dyDescent="0.2">
      <c r="B28" s="2618" t="s">
        <v>134</v>
      </c>
      <c r="C28" s="2621" t="s">
        <v>135</v>
      </c>
      <c r="D28" s="2622"/>
      <c r="E28" s="2618" t="s">
        <v>136</v>
      </c>
      <c r="F28" s="2618" t="s">
        <v>137</v>
      </c>
    </row>
    <row r="29" spans="1:10" ht="24" customHeight="1" x14ac:dyDescent="0.2">
      <c r="B29" s="2619"/>
      <c r="C29" s="2623"/>
      <c r="D29" s="2624"/>
      <c r="E29" s="2619"/>
      <c r="F29" s="2619"/>
    </row>
    <row r="30" spans="1:10" ht="29.25" customHeight="1" x14ac:dyDescent="0.2">
      <c r="B30" s="24">
        <f>_xlfn.IFNA(VLOOKUP(Riesgo,TablaMuestra[[Riesgo de Control]:[Parametro Minimo Concepto]],2,FALSE),"")</f>
        <v>0.25</v>
      </c>
      <c r="C30" s="2614">
        <f>_xlfn.IFNA(VLOOKUP(Riesgo,TablaMuestra[[Riesgo de Control]:[Parametro Minimo Concepto]],5,FALSE),"")</f>
        <v>0.75</v>
      </c>
      <c r="D30" s="2615"/>
      <c r="E30" s="24">
        <f>_xlfn.IFNA(VLOOKUP(Riesgo,TablaMuestra[[Riesgo de Control]:[Parametro Minimo Concepto]],3,FALSE),"")</f>
        <v>0.25</v>
      </c>
      <c r="F30" s="23">
        <f>IFERROR(D19*E30,"")</f>
        <v>964462886.75</v>
      </c>
    </row>
    <row r="31" spans="1:10" ht="13.9" customHeight="1" x14ac:dyDescent="0.2">
      <c r="B31" s="2613" t="s">
        <v>144</v>
      </c>
      <c r="C31" s="2613"/>
      <c r="D31" s="2613"/>
      <c r="E31" s="2613"/>
      <c r="F31" s="2613"/>
    </row>
    <row r="32" spans="1:10" ht="190.9" customHeight="1" x14ac:dyDescent="0.2">
      <c r="B32" s="2604"/>
      <c r="C32" s="2604"/>
      <c r="D32" s="2604"/>
      <c r="E32" s="2604"/>
      <c r="F32" s="2604"/>
    </row>
    <row r="33" spans="2:8" ht="19.899999999999999" customHeight="1" x14ac:dyDescent="0.2">
      <c r="B33" s="2604"/>
      <c r="C33" s="2604"/>
      <c r="D33" s="2604"/>
      <c r="E33" s="2604"/>
      <c r="F33" s="2604"/>
    </row>
    <row r="34" spans="2:8" ht="46.9" customHeight="1" x14ac:dyDescent="0.2">
      <c r="B34" s="2604"/>
      <c r="C34" s="2604"/>
      <c r="D34" s="2604"/>
      <c r="E34" s="2604"/>
      <c r="F34" s="2604"/>
      <c r="G34" s="62"/>
      <c r="H34" s="62"/>
    </row>
    <row r="35" spans="2:8" ht="21" customHeight="1" x14ac:dyDescent="0.25">
      <c r="B35" s="25"/>
      <c r="C35" s="25"/>
      <c r="D35" s="1186"/>
      <c r="E35" s="25"/>
      <c r="F35" s="25"/>
    </row>
    <row r="36" spans="2:8" ht="16.5" customHeight="1" x14ac:dyDescent="0.25">
      <c r="B36" s="32"/>
      <c r="C36" s="32"/>
      <c r="D36" s="1187"/>
      <c r="E36" s="16"/>
      <c r="F36" s="68"/>
    </row>
    <row r="37" spans="2:8" ht="13.9" customHeight="1" x14ac:dyDescent="0.25">
      <c r="B37" s="69"/>
      <c r="C37" s="69"/>
      <c r="D37" s="69"/>
      <c r="E37" s="70"/>
      <c r="F37" s="68"/>
    </row>
    <row r="38" spans="2:8" ht="21.75" customHeight="1" x14ac:dyDescent="0.25">
      <c r="B38" s="69"/>
      <c r="C38" s="69"/>
      <c r="D38" s="71"/>
      <c r="E38" s="70"/>
      <c r="F38" s="68"/>
    </row>
    <row r="39" spans="2:8" ht="13.9" customHeight="1" x14ac:dyDescent="0.2">
      <c r="B39" s="69"/>
      <c r="D39" s="69"/>
      <c r="E39" s="69"/>
      <c r="F39" s="69"/>
    </row>
    <row r="40" spans="2:8" ht="13.9" customHeight="1" x14ac:dyDescent="0.2">
      <c r="B40" s="69"/>
      <c r="C40" s="76"/>
      <c r="D40" s="77"/>
      <c r="E40" s="77"/>
      <c r="F40" s="77"/>
    </row>
    <row r="41" spans="2:8" ht="13.9" customHeight="1" x14ac:dyDescent="0.25">
      <c r="B41" s="69"/>
      <c r="C41" s="78"/>
      <c r="D41" s="79"/>
      <c r="E41" s="79"/>
      <c r="F41" s="79"/>
    </row>
    <row r="42" spans="2:8" ht="13.9" customHeight="1" x14ac:dyDescent="0.2">
      <c r="B42" s="69"/>
      <c r="C42" s="82"/>
      <c r="D42" s="83"/>
      <c r="E42" s="83"/>
      <c r="F42" s="83"/>
    </row>
    <row r="43" spans="2:8" ht="13.9" customHeight="1" x14ac:dyDescent="0.25">
      <c r="C43" s="82"/>
      <c r="D43" s="85"/>
      <c r="E43" s="85"/>
      <c r="F43" s="85"/>
      <c r="G43" s="86"/>
      <c r="H43" s="86"/>
    </row>
    <row r="44" spans="2:8" ht="13.9" customHeight="1" x14ac:dyDescent="0.25">
      <c r="B44" s="89"/>
      <c r="C44" s="89"/>
      <c r="D44" s="89"/>
      <c r="E44" s="89"/>
      <c r="F44" s="89"/>
      <c r="G44" s="86"/>
      <c r="H44" s="86"/>
    </row>
    <row r="45" spans="2:8" ht="26.45" customHeight="1" x14ac:dyDescent="0.25">
      <c r="G45" s="86"/>
      <c r="H45" s="86"/>
    </row>
    <row r="46" spans="2:8" ht="13.9" customHeight="1" x14ac:dyDescent="0.25">
      <c r="G46" s="86"/>
      <c r="H46" s="86"/>
    </row>
    <row r="47" spans="2:8" ht="13.9" customHeight="1" x14ac:dyDescent="0.25">
      <c r="B47" s="55"/>
      <c r="C47" s="55"/>
      <c r="D47" s="92"/>
      <c r="F47" s="49"/>
    </row>
    <row r="48" spans="2:8" ht="13.9" customHeight="1" x14ac:dyDescent="0.25">
      <c r="B48" s="12"/>
      <c r="C48" s="12"/>
      <c r="D48" s="13"/>
      <c r="E48" s="14"/>
      <c r="F48" s="14"/>
    </row>
    <row r="49" spans="2:24" ht="20.25" customHeight="1" x14ac:dyDescent="0.2"/>
    <row r="50" spans="2:24" ht="13.9" customHeight="1" x14ac:dyDescent="0.25">
      <c r="B50" s="2610"/>
      <c r="C50" s="2610"/>
      <c r="D50" s="2610"/>
      <c r="E50" s="2610"/>
      <c r="F50" s="2610"/>
    </row>
    <row r="51" spans="2:24" ht="13.9" customHeight="1" x14ac:dyDescent="0.2">
      <c r="B51" s="2609"/>
      <c r="C51" s="2609"/>
      <c r="D51" s="2609"/>
      <c r="E51" s="2609"/>
      <c r="F51" s="2609"/>
    </row>
    <row r="53" spans="2:24" ht="13.9" customHeight="1" x14ac:dyDescent="0.25">
      <c r="B53" s="55"/>
      <c r="C53" s="55"/>
    </row>
    <row r="54" spans="2:24" ht="13.9" hidden="1" customHeight="1" x14ac:dyDescent="0.2">
      <c r="B54" s="97"/>
      <c r="C54" s="98"/>
    </row>
    <row r="55" spans="2:24" ht="13.9" hidden="1" customHeight="1" x14ac:dyDescent="0.2"/>
    <row r="56" spans="2:24" ht="13.9" hidden="1" customHeight="1" x14ac:dyDescent="0.2">
      <c r="B56" s="2611"/>
      <c r="C56" s="2611"/>
      <c r="D56" s="2611"/>
      <c r="E56" s="2611"/>
      <c r="F56" s="2611"/>
    </row>
    <row r="57" spans="2:24" ht="13.9" hidden="1" customHeight="1" x14ac:dyDescent="0.2">
      <c r="B57" s="2611"/>
      <c r="C57" s="2611"/>
      <c r="D57" s="2611"/>
      <c r="E57" s="2611"/>
      <c r="F57" s="2611"/>
      <c r="I57" s="11" t="s">
        <v>138</v>
      </c>
      <c r="J57" s="11" t="s">
        <v>139</v>
      </c>
      <c r="L57" s="11" t="s">
        <v>140</v>
      </c>
      <c r="M57" s="11" t="s">
        <v>139</v>
      </c>
      <c r="R57" s="11" t="s">
        <v>141</v>
      </c>
    </row>
    <row r="58" spans="2:24" ht="13.9" hidden="1" customHeight="1" x14ac:dyDescent="0.2">
      <c r="B58" s="2612"/>
      <c r="C58" s="2612"/>
      <c r="D58" s="2612"/>
      <c r="E58" s="2612"/>
      <c r="F58" s="2612"/>
      <c r="I58" s="11" t="s">
        <v>130</v>
      </c>
      <c r="J58" s="11">
        <v>4</v>
      </c>
      <c r="L58" s="11" t="s">
        <v>131</v>
      </c>
      <c r="M58" s="11">
        <v>4</v>
      </c>
      <c r="Q58" s="58"/>
      <c r="R58" s="59"/>
      <c r="S58" s="60">
        <v>100</v>
      </c>
      <c r="T58" s="58"/>
      <c r="U58" s="58"/>
    </row>
    <row r="59" spans="2:24" ht="13.9" hidden="1" customHeight="1" x14ac:dyDescent="0.2">
      <c r="I59" s="10" t="s">
        <v>142</v>
      </c>
      <c r="J59" s="11">
        <v>3</v>
      </c>
      <c r="L59" s="10" t="s">
        <v>143</v>
      </c>
      <c r="M59" s="11">
        <v>2.5</v>
      </c>
      <c r="Q59" s="58"/>
      <c r="R59" s="59"/>
      <c r="S59" s="58"/>
      <c r="T59" s="58"/>
      <c r="U59" s="58"/>
    </row>
    <row r="60" spans="2:24" ht="13.9" hidden="1" customHeight="1" x14ac:dyDescent="0.25">
      <c r="B60" s="2610"/>
      <c r="C60" s="2610"/>
      <c r="D60" s="2610"/>
      <c r="E60" s="2610"/>
      <c r="F60" s="2610"/>
      <c r="I60" s="11" t="s">
        <v>145</v>
      </c>
      <c r="J60" s="11">
        <v>2</v>
      </c>
      <c r="L60" s="11" t="s">
        <v>146</v>
      </c>
      <c r="M60" s="11">
        <v>1</v>
      </c>
      <c r="Q60" s="58"/>
      <c r="R60" s="59"/>
      <c r="S60" s="58"/>
      <c r="T60" s="58"/>
      <c r="U60" s="58"/>
    </row>
    <row r="61" spans="2:24" ht="13.9" hidden="1" customHeight="1" x14ac:dyDescent="0.2">
      <c r="B61" s="2609"/>
      <c r="C61" s="2609"/>
      <c r="D61" s="2609"/>
      <c r="E61" s="2609"/>
      <c r="F61" s="2609"/>
      <c r="I61" s="11" t="s">
        <v>147</v>
      </c>
      <c r="J61" s="11">
        <v>1</v>
      </c>
      <c r="L61" s="11" t="s">
        <v>148</v>
      </c>
      <c r="M61" s="61">
        <v>0</v>
      </c>
      <c r="Q61" s="58"/>
      <c r="R61" s="59"/>
      <c r="S61" s="58"/>
      <c r="T61" s="58"/>
      <c r="U61" s="58"/>
    </row>
    <row r="62" spans="2:24" ht="13.9" hidden="1" customHeight="1" x14ac:dyDescent="0.2">
      <c r="I62" s="11" t="s">
        <v>148</v>
      </c>
      <c r="J62" s="11">
        <v>0</v>
      </c>
      <c r="M62" s="61" t="s">
        <v>144</v>
      </c>
      <c r="Q62" s="58"/>
      <c r="R62" s="59"/>
      <c r="S62" s="58"/>
      <c r="T62" s="58"/>
      <c r="U62" s="58"/>
    </row>
    <row r="63" spans="2:24" ht="13.9" hidden="1" customHeight="1" x14ac:dyDescent="0.2">
      <c r="B63" s="99"/>
      <c r="C63" s="100"/>
      <c r="Q63" s="63"/>
      <c r="R63" s="64"/>
      <c r="S63" s="65"/>
      <c r="T63" s="65"/>
      <c r="U63" s="58"/>
    </row>
    <row r="64" spans="2:24" s="15" customFormat="1" ht="20.25" hidden="1" customHeight="1" x14ac:dyDescent="0.25">
      <c r="B64" s="101"/>
      <c r="C64" s="98"/>
      <c r="D64" s="11"/>
      <c r="E64" s="11"/>
      <c r="F64" s="11"/>
      <c r="I64" s="11"/>
      <c r="J64" s="11"/>
      <c r="K64" s="11"/>
      <c r="L64" s="11"/>
      <c r="M64" s="11"/>
      <c r="N64" s="11"/>
      <c r="O64" s="11"/>
      <c r="P64" s="11"/>
      <c r="Q64" s="63"/>
      <c r="R64" s="66"/>
      <c r="S64" s="67"/>
      <c r="T64" s="67"/>
      <c r="U64" s="58"/>
      <c r="V64" s="11"/>
      <c r="W64" s="11"/>
      <c r="X64" s="11"/>
    </row>
    <row r="65" spans="9:23" ht="13.9" hidden="1" customHeight="1" x14ac:dyDescent="0.2">
      <c r="I65" s="11" t="s">
        <v>150</v>
      </c>
      <c r="J65" s="11" t="s">
        <v>139</v>
      </c>
      <c r="L65" s="11" t="s">
        <v>151</v>
      </c>
      <c r="M65" s="11" t="s">
        <v>139</v>
      </c>
      <c r="Q65" s="63"/>
      <c r="R65" s="66"/>
      <c r="S65" s="67"/>
      <c r="T65" s="67"/>
      <c r="U65" s="58"/>
    </row>
    <row r="66" spans="9:23" ht="13.9" hidden="1" customHeight="1" x14ac:dyDescent="0.2">
      <c r="I66" s="11" t="s">
        <v>152</v>
      </c>
      <c r="J66" s="11">
        <v>4</v>
      </c>
      <c r="L66" s="11" t="s">
        <v>153</v>
      </c>
      <c r="M66" s="11">
        <v>4</v>
      </c>
      <c r="Q66" s="58"/>
      <c r="R66" s="59"/>
      <c r="S66" s="58"/>
      <c r="T66" s="58"/>
      <c r="U66" s="58"/>
    </row>
    <row r="67" spans="9:23" ht="13.9" hidden="1" customHeight="1" x14ac:dyDescent="0.2">
      <c r="I67" s="10" t="s">
        <v>154</v>
      </c>
      <c r="J67" s="11">
        <v>3</v>
      </c>
      <c r="L67" s="10" t="s">
        <v>155</v>
      </c>
      <c r="M67" s="11">
        <v>3</v>
      </c>
      <c r="Q67" s="72"/>
      <c r="R67" s="66"/>
      <c r="S67" s="67"/>
      <c r="T67" s="67"/>
      <c r="U67" s="58"/>
    </row>
    <row r="68" spans="9:23" ht="13.9" hidden="1" customHeight="1" x14ac:dyDescent="0.2">
      <c r="I68" s="11" t="s">
        <v>133</v>
      </c>
      <c r="J68" s="11">
        <v>2</v>
      </c>
      <c r="L68" s="11" t="s">
        <v>132</v>
      </c>
      <c r="M68" s="11">
        <v>2</v>
      </c>
      <c r="Q68" s="73"/>
      <c r="R68" s="74"/>
      <c r="S68" s="75"/>
      <c r="T68" s="75"/>
      <c r="U68" s="58"/>
    </row>
    <row r="69" spans="9:23" ht="13.9" hidden="1" customHeight="1" x14ac:dyDescent="0.2">
      <c r="I69" s="10" t="s">
        <v>156</v>
      </c>
      <c r="J69" s="11">
        <v>1</v>
      </c>
      <c r="L69" s="10" t="s">
        <v>157</v>
      </c>
      <c r="M69" s="11">
        <v>1</v>
      </c>
      <c r="Q69" s="65"/>
      <c r="R69" s="66"/>
      <c r="S69" s="67"/>
      <c r="T69" s="67"/>
      <c r="U69" s="58" t="s">
        <v>158</v>
      </c>
    </row>
    <row r="70" spans="9:23" ht="13.9" hidden="1" customHeight="1" thickBot="1" x14ac:dyDescent="0.25">
      <c r="L70" s="11" t="s">
        <v>1700</v>
      </c>
      <c r="M70" s="11">
        <v>0</v>
      </c>
      <c r="Q70" s="58"/>
      <c r="R70" s="66"/>
      <c r="S70" s="80"/>
      <c r="T70" s="81"/>
      <c r="U70" s="65">
        <v>0.3</v>
      </c>
      <c r="V70" s="58"/>
    </row>
    <row r="71" spans="9:23" ht="13.9" hidden="1" customHeight="1" x14ac:dyDescent="0.2">
      <c r="I71" s="11" t="s">
        <v>159</v>
      </c>
      <c r="J71" s="11" t="s">
        <v>160</v>
      </c>
      <c r="K71" s="11" t="s">
        <v>161</v>
      </c>
      <c r="L71" s="62" t="s">
        <v>162</v>
      </c>
      <c r="M71" s="11" t="s">
        <v>158</v>
      </c>
      <c r="N71" s="11" t="s">
        <v>163</v>
      </c>
      <c r="O71" s="11" t="s">
        <v>164</v>
      </c>
      <c r="Q71" s="58"/>
      <c r="R71" s="59"/>
      <c r="S71" s="58"/>
      <c r="U71" s="84"/>
      <c r="V71" s="60">
        <v>30</v>
      </c>
      <c r="W71" s="2605">
        <v>0.75</v>
      </c>
    </row>
    <row r="72" spans="9:23" ht="13.9" hidden="1" customHeight="1" x14ac:dyDescent="0.2">
      <c r="I72" s="11">
        <v>4</v>
      </c>
      <c r="J72" s="11">
        <v>1</v>
      </c>
      <c r="K72" s="87" t="s">
        <v>165</v>
      </c>
      <c r="L72" s="88">
        <v>0.3</v>
      </c>
      <c r="M72" s="87">
        <v>0.2</v>
      </c>
      <c r="N72" s="87"/>
      <c r="O72" s="87">
        <v>0.7</v>
      </c>
      <c r="Q72" s="67"/>
      <c r="R72" s="59"/>
      <c r="S72" s="58"/>
      <c r="U72" s="84"/>
      <c r="V72" s="65"/>
      <c r="W72" s="2606"/>
    </row>
    <row r="73" spans="9:23" ht="13.9" hidden="1" customHeight="1" x14ac:dyDescent="0.2">
      <c r="I73" s="11">
        <v>8</v>
      </c>
      <c r="J73" s="11">
        <v>7</v>
      </c>
      <c r="K73" s="87" t="s">
        <v>166</v>
      </c>
      <c r="L73" s="90">
        <v>0.25</v>
      </c>
      <c r="M73" s="87">
        <v>0.25</v>
      </c>
      <c r="N73" s="87"/>
      <c r="O73" s="87">
        <v>0.75</v>
      </c>
      <c r="Q73" s="91"/>
      <c r="R73" s="59"/>
      <c r="S73" s="58"/>
      <c r="U73" s="84"/>
      <c r="V73" s="65"/>
      <c r="W73" s="2606"/>
    </row>
    <row r="74" spans="9:23" ht="13.9" hidden="1" customHeight="1" x14ac:dyDescent="0.2">
      <c r="I74" s="11">
        <v>12</v>
      </c>
      <c r="J74" s="11">
        <v>10</v>
      </c>
      <c r="K74" s="87" t="s">
        <v>167</v>
      </c>
      <c r="L74" s="88">
        <v>0.2</v>
      </c>
      <c r="M74" s="87">
        <v>0.3</v>
      </c>
      <c r="N74" s="87"/>
      <c r="O74" s="87">
        <v>0.8</v>
      </c>
      <c r="Q74" s="67"/>
      <c r="R74" s="59"/>
      <c r="S74" s="58"/>
      <c r="U74" s="84"/>
      <c r="V74" s="65"/>
      <c r="W74" s="2606"/>
    </row>
    <row r="75" spans="9:23" ht="13.9" hidden="1" customHeight="1" thickBot="1" x14ac:dyDescent="0.25">
      <c r="Q75" s="58"/>
      <c r="R75" s="59"/>
      <c r="S75" s="58"/>
      <c r="T75" s="81"/>
      <c r="U75" s="84"/>
      <c r="V75" s="65"/>
      <c r="W75" s="2607"/>
    </row>
    <row r="76" spans="9:23" ht="13.9" hidden="1" customHeight="1" thickBot="1" x14ac:dyDescent="0.25">
      <c r="Q76" s="93">
        <v>7.4999999999999997E-2</v>
      </c>
      <c r="R76" s="94"/>
      <c r="S76" s="2608">
        <v>7.5</v>
      </c>
      <c r="T76" s="2608"/>
      <c r="U76" s="94"/>
      <c r="V76" s="95">
        <v>7.5</v>
      </c>
      <c r="W76" s="96">
        <v>0.25</v>
      </c>
    </row>
    <row r="77" spans="9:23" ht="13.9" hidden="1" customHeight="1" x14ac:dyDescent="0.2"/>
    <row r="78" spans="9:23" ht="13.9" hidden="1" customHeight="1" x14ac:dyDescent="0.2"/>
    <row r="79" spans="9:23" ht="13.9" hidden="1" customHeight="1" x14ac:dyDescent="0.2"/>
    <row r="80" spans="9:23" ht="13.9" hidden="1" customHeight="1" x14ac:dyDescent="0.2"/>
    <row r="81" ht="13.9" hidden="1" customHeight="1" x14ac:dyDescent="0.2"/>
    <row r="82" ht="13.9" hidden="1" customHeight="1" x14ac:dyDescent="0.2"/>
    <row r="83" ht="13.9" hidden="1" customHeight="1" x14ac:dyDescent="0.2"/>
    <row r="84" ht="13.9" hidden="1" customHeight="1" x14ac:dyDescent="0.2"/>
    <row r="85" ht="13.9" hidden="1" customHeight="1" x14ac:dyDescent="0.2"/>
    <row r="86" ht="13.9" hidden="1" customHeight="1" x14ac:dyDescent="0.2"/>
  </sheetData>
  <sheetProtection algorithmName="SHA-512" hashValue="XZnPeGFdekUsHgMy0TaTMOArkuLVZO1HJ3hvABdXycxgQ/tPYb4hq9IdppDOTQR1vR3TksYK/mwJJPpOdTPJmw==" saltValue="40dHZZRM1pIDR6tAgcZ4UQ==" spinCount="100000" sheet="1" objects="1" scenarios="1" formatColumns="0"/>
  <dataConsolidate/>
  <mergeCells count="35">
    <mergeCell ref="B17:C17"/>
    <mergeCell ref="B18:C18"/>
    <mergeCell ref="B15:C15"/>
    <mergeCell ref="B16:C16"/>
    <mergeCell ref="C5:F5"/>
    <mergeCell ref="B14:C14"/>
    <mergeCell ref="A1:B1"/>
    <mergeCell ref="C1:E1"/>
    <mergeCell ref="A2:F2"/>
    <mergeCell ref="B10:F10"/>
    <mergeCell ref="C4:F4"/>
    <mergeCell ref="C6:D6"/>
    <mergeCell ref="C7:D7"/>
    <mergeCell ref="C8:D8"/>
    <mergeCell ref="B31:F31"/>
    <mergeCell ref="C30:D30"/>
    <mergeCell ref="B19:C19"/>
    <mergeCell ref="B28:B29"/>
    <mergeCell ref="F28:F29"/>
    <mergeCell ref="E28:E29"/>
    <mergeCell ref="B26:F27"/>
    <mergeCell ref="C28:D29"/>
    <mergeCell ref="B21:D21"/>
    <mergeCell ref="C22:E22"/>
    <mergeCell ref="B32:F32"/>
    <mergeCell ref="W71:W75"/>
    <mergeCell ref="S76:T76"/>
    <mergeCell ref="B61:F61"/>
    <mergeCell ref="B60:F60"/>
    <mergeCell ref="B50:F50"/>
    <mergeCell ref="B51:F51"/>
    <mergeCell ref="B56:F57"/>
    <mergeCell ref="B58:F58"/>
    <mergeCell ref="B33:F33"/>
    <mergeCell ref="B34:F34"/>
  </mergeCells>
  <conditionalFormatting sqref="B24">
    <cfRule type="cellIs" dxfId="92" priority="1" operator="equal">
      <formula>"BAJO"</formula>
    </cfRule>
    <cfRule type="cellIs" dxfId="91" priority="2" operator="equal">
      <formula>"MEDIO"</formula>
    </cfRule>
    <cfRule type="cellIs" dxfId="90" priority="3" operator="equal">
      <formula>"ALTO"</formula>
    </cfRule>
  </conditionalFormatting>
  <dataValidations disablePrompts="1" count="6">
    <dataValidation type="list" showInputMessage="1" showErrorMessage="1" sqref="B54">
      <formula1>#REF!</formula1>
    </dataValidation>
    <dataValidation type="list" allowBlank="1" showInputMessage="1" showErrorMessage="1" sqref="E24">
      <formula1>$L$66:$L$70</formula1>
    </dataValidation>
    <dataValidation type="list" allowBlank="1" showInputMessage="1" showErrorMessage="1" sqref="D24">
      <formula1>$L$58:$L$61</formula1>
    </dataValidation>
    <dataValidation type="list" allowBlank="1" showInputMessage="1" showErrorMessage="1" sqref="F24">
      <formula1>$I$66:$I$69</formula1>
    </dataValidation>
    <dataValidation type="list" allowBlank="1" showInputMessage="1" showErrorMessage="1" sqref="C24">
      <formula1>$I$58:$I$62</formula1>
    </dataValidation>
    <dataValidation operator="greaterThan" allowBlank="1" showInputMessage="1" showErrorMessage="1" sqref="B15:B21"/>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Check Box 23">
              <controlPr locked="0" defaultSize="0" autoFill="0" autoLine="0" autoPict="0">
                <anchor moveWithCells="1">
                  <from>
                    <xdr:col>1</xdr:col>
                    <xdr:colOff>381000</xdr:colOff>
                    <xdr:row>14</xdr:row>
                    <xdr:rowOff>19050</xdr:rowOff>
                  </from>
                  <to>
                    <xdr:col>2</xdr:col>
                    <xdr:colOff>2057400</xdr:colOff>
                    <xdr:row>14</xdr:row>
                    <xdr:rowOff>371475</xdr:rowOff>
                  </to>
                </anchor>
              </controlPr>
            </control>
          </mc:Choice>
        </mc:AlternateContent>
        <mc:AlternateContent xmlns:mc="http://schemas.openxmlformats.org/markup-compatibility/2006">
          <mc:Choice Requires="x14">
            <control shapeId="2072" r:id="rId5" name="Check Box 24">
              <controlPr locked="0" defaultSize="0" autoFill="0" autoLine="0" autoPict="0">
                <anchor moveWithCells="1">
                  <from>
                    <xdr:col>1</xdr:col>
                    <xdr:colOff>381000</xdr:colOff>
                    <xdr:row>15</xdr:row>
                    <xdr:rowOff>19050</xdr:rowOff>
                  </from>
                  <to>
                    <xdr:col>2</xdr:col>
                    <xdr:colOff>1819275</xdr:colOff>
                    <xdr:row>16</xdr:row>
                    <xdr:rowOff>0</xdr:rowOff>
                  </to>
                </anchor>
              </controlPr>
            </control>
          </mc:Choice>
        </mc:AlternateContent>
        <mc:AlternateContent xmlns:mc="http://schemas.openxmlformats.org/markup-compatibility/2006">
          <mc:Choice Requires="x14">
            <control shapeId="2073" r:id="rId6" name="Check Box 25">
              <controlPr locked="0" defaultSize="0" autoFill="0" autoLine="0" autoPict="0">
                <anchor moveWithCells="1">
                  <from>
                    <xdr:col>1</xdr:col>
                    <xdr:colOff>381000</xdr:colOff>
                    <xdr:row>16</xdr:row>
                    <xdr:rowOff>19050</xdr:rowOff>
                  </from>
                  <to>
                    <xdr:col>2</xdr:col>
                    <xdr:colOff>1819275</xdr:colOff>
                    <xdr:row>17</xdr:row>
                    <xdr:rowOff>0</xdr:rowOff>
                  </to>
                </anchor>
              </controlPr>
            </control>
          </mc:Choice>
        </mc:AlternateContent>
        <mc:AlternateContent xmlns:mc="http://schemas.openxmlformats.org/markup-compatibility/2006">
          <mc:Choice Requires="x14">
            <control shapeId="2074" r:id="rId7" name="Check Box 26">
              <controlPr locked="0" defaultSize="0" autoFill="0" autoLine="0" autoPict="0">
                <anchor moveWithCells="1">
                  <from>
                    <xdr:col>1</xdr:col>
                    <xdr:colOff>381000</xdr:colOff>
                    <xdr:row>17</xdr:row>
                    <xdr:rowOff>19050</xdr:rowOff>
                  </from>
                  <to>
                    <xdr:col>2</xdr:col>
                    <xdr:colOff>1819275</xdr:colOff>
                    <xdr:row>18</xdr:row>
                    <xdr:rowOff>0</xdr:rowOff>
                  </to>
                </anchor>
              </controlPr>
            </control>
          </mc:Choice>
        </mc:AlternateContent>
      </controls>
    </mc:Choice>
  </mc:AlternateContent>
  <tableParts count="5">
    <tablePart r:id="rId8"/>
    <tablePart r:id="rId9"/>
    <tablePart r:id="rId10"/>
    <tablePart r:id="rId11"/>
    <tablePart r:id="rId12"/>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A65524"/>
  <sheetViews>
    <sheetView zoomScaleNormal="100" workbookViewId="0"/>
  </sheetViews>
  <sheetFormatPr baseColWidth="10" defaultColWidth="11.42578125" defaultRowHeight="14.25" x14ac:dyDescent="0.25"/>
  <cols>
    <col min="1" max="1" width="34.42578125" style="104" customWidth="1"/>
    <col min="2" max="2" width="47.5703125" style="104" customWidth="1"/>
    <col min="3" max="3" width="22.42578125" style="190" bestFit="1" customWidth="1"/>
    <col min="4" max="4" width="52.42578125" style="104" customWidth="1"/>
    <col min="5" max="18" width="30.7109375" style="58" customWidth="1"/>
    <col min="19" max="57" width="30.7109375" style="103" customWidth="1"/>
    <col min="58" max="102" width="30.7109375" style="104" customWidth="1"/>
    <col min="103" max="103" width="34.42578125" style="104" customWidth="1"/>
    <col min="104" max="104" width="19.42578125" style="104" customWidth="1"/>
    <col min="105" max="16384" width="11.42578125" style="104"/>
  </cols>
  <sheetData>
    <row r="1" spans="1:103" ht="85.5" customHeight="1" x14ac:dyDescent="0.2">
      <c r="A1" s="102"/>
      <c r="B1" s="2627" t="s">
        <v>1757</v>
      </c>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27"/>
      <c r="AW1" s="2627"/>
      <c r="AX1" s="2627"/>
      <c r="AY1" s="2627"/>
      <c r="AZ1" s="2627"/>
      <c r="BA1" s="2627"/>
      <c r="BB1" s="2627"/>
      <c r="BC1" s="2627"/>
      <c r="BD1" s="2627"/>
      <c r="BE1" s="2627"/>
      <c r="BF1" s="2627"/>
      <c r="BG1" s="2627"/>
      <c r="BH1" s="2627"/>
      <c r="BI1" s="2627"/>
      <c r="BJ1" s="2627"/>
      <c r="BK1" s="2627"/>
      <c r="BL1" s="2627"/>
      <c r="BM1" s="2627"/>
      <c r="BN1" s="2627"/>
      <c r="BO1" s="2627"/>
      <c r="BP1" s="2627"/>
      <c r="BQ1" s="2627"/>
      <c r="BR1" s="2627"/>
      <c r="BS1" s="2627"/>
      <c r="BT1" s="2627"/>
      <c r="BU1" s="2627"/>
      <c r="BV1" s="2627"/>
      <c r="BW1" s="2627"/>
      <c r="BX1" s="2627"/>
      <c r="BY1" s="2627"/>
      <c r="BZ1" s="2627"/>
      <c r="CA1" s="2627"/>
      <c r="CB1" s="2627"/>
      <c r="CC1" s="2627"/>
      <c r="CD1" s="2627"/>
      <c r="CE1" s="2627"/>
      <c r="CF1" s="2627"/>
      <c r="CG1" s="2627"/>
      <c r="CH1" s="2627"/>
      <c r="CI1" s="2627"/>
      <c r="CJ1" s="2627"/>
      <c r="CK1" s="2627"/>
      <c r="CL1" s="2627"/>
      <c r="CM1" s="2627"/>
      <c r="CN1" s="2627"/>
      <c r="CO1" s="2627"/>
      <c r="CP1" s="2627"/>
      <c r="CQ1" s="2627"/>
      <c r="CR1" s="2627"/>
      <c r="CS1" s="2627"/>
      <c r="CT1" s="2627"/>
      <c r="CU1" s="2627"/>
      <c r="CV1" s="2627"/>
      <c r="CW1" s="2627"/>
      <c r="CX1" s="2627"/>
      <c r="CY1" s="1213" t="s">
        <v>1940</v>
      </c>
    </row>
    <row r="2" spans="1:103" ht="22.5" customHeight="1" thickBot="1" x14ac:dyDescent="0.3">
      <c r="A2" s="2644"/>
      <c r="B2" s="2645"/>
      <c r="C2" s="2645"/>
      <c r="D2" s="2646"/>
      <c r="E2" s="194"/>
      <c r="F2" s="105"/>
      <c r="G2" s="106"/>
      <c r="H2" s="105"/>
      <c r="I2" s="105"/>
    </row>
    <row r="3" spans="1:103" s="1" customFormat="1" ht="41.45" customHeight="1" thickBot="1" x14ac:dyDescent="0.3">
      <c r="A3" s="1192" t="s">
        <v>168</v>
      </c>
      <c r="B3" s="2647" t="str">
        <f>+FENECIMIENTO!D5</f>
        <v xml:space="preserve">206 - Fondo de Prestaciones Económicas, Cesantías y Pensiones – FONCEP </v>
      </c>
      <c r="C3" s="2648"/>
      <c r="D3" s="1193" t="s">
        <v>169</v>
      </c>
      <c r="E3" s="197">
        <v>1</v>
      </c>
      <c r="F3" s="198">
        <v>2</v>
      </c>
      <c r="G3" s="197">
        <v>3</v>
      </c>
      <c r="H3" s="198">
        <v>4</v>
      </c>
      <c r="I3" s="197">
        <v>5</v>
      </c>
      <c r="J3" s="198">
        <v>6</v>
      </c>
      <c r="K3" s="197">
        <v>7</v>
      </c>
      <c r="L3" s="198">
        <v>8</v>
      </c>
      <c r="M3" s="197">
        <v>9</v>
      </c>
      <c r="N3" s="198">
        <v>10</v>
      </c>
      <c r="O3" s="197">
        <v>11</v>
      </c>
      <c r="P3" s="198">
        <v>12</v>
      </c>
      <c r="Q3" s="197">
        <v>13</v>
      </c>
      <c r="R3" s="198">
        <v>14</v>
      </c>
      <c r="S3" s="197">
        <v>15</v>
      </c>
      <c r="T3" s="198">
        <v>16</v>
      </c>
      <c r="U3" s="197">
        <v>17</v>
      </c>
      <c r="V3" s="198">
        <v>18</v>
      </c>
      <c r="W3" s="197">
        <v>19</v>
      </c>
      <c r="X3" s="198">
        <v>20</v>
      </c>
      <c r="Y3" s="197">
        <v>21</v>
      </c>
      <c r="Z3" s="198">
        <v>22</v>
      </c>
      <c r="AA3" s="197">
        <v>23</v>
      </c>
      <c r="AB3" s="198">
        <v>24</v>
      </c>
      <c r="AC3" s="197">
        <v>25</v>
      </c>
      <c r="AD3" s="198">
        <v>26</v>
      </c>
      <c r="AE3" s="197">
        <v>27</v>
      </c>
      <c r="AF3" s="198">
        <v>28</v>
      </c>
      <c r="AG3" s="197">
        <v>29</v>
      </c>
      <c r="AH3" s="198">
        <v>30</v>
      </c>
      <c r="AI3" s="197">
        <v>31</v>
      </c>
      <c r="AJ3" s="198">
        <v>32</v>
      </c>
      <c r="AK3" s="197">
        <v>33</v>
      </c>
      <c r="AL3" s="198">
        <v>34</v>
      </c>
      <c r="AM3" s="197">
        <v>35</v>
      </c>
      <c r="AN3" s="198">
        <v>36</v>
      </c>
      <c r="AO3" s="197">
        <v>37</v>
      </c>
      <c r="AP3" s="198">
        <v>38</v>
      </c>
      <c r="AQ3" s="197">
        <v>39</v>
      </c>
      <c r="AR3" s="198">
        <v>40</v>
      </c>
      <c r="AS3" s="197">
        <v>41</v>
      </c>
      <c r="AT3" s="198">
        <v>42</v>
      </c>
      <c r="AU3" s="197">
        <v>43</v>
      </c>
      <c r="AV3" s="198">
        <v>44</v>
      </c>
      <c r="AW3" s="197">
        <v>45</v>
      </c>
      <c r="AX3" s="198">
        <v>46</v>
      </c>
      <c r="AY3" s="197">
        <v>47</v>
      </c>
      <c r="AZ3" s="198">
        <v>48</v>
      </c>
      <c r="BA3" s="197">
        <v>49</v>
      </c>
      <c r="BB3" s="198">
        <v>50</v>
      </c>
      <c r="BC3" s="197">
        <v>51</v>
      </c>
      <c r="BD3" s="198">
        <v>52</v>
      </c>
      <c r="BE3" s="197">
        <v>53</v>
      </c>
      <c r="BF3" s="198">
        <v>54</v>
      </c>
      <c r="BG3" s="197">
        <v>55</v>
      </c>
      <c r="BH3" s="198">
        <v>56</v>
      </c>
      <c r="BI3" s="197">
        <v>57</v>
      </c>
      <c r="BJ3" s="198">
        <v>58</v>
      </c>
      <c r="BK3" s="197">
        <v>59</v>
      </c>
      <c r="BL3" s="198">
        <v>60</v>
      </c>
      <c r="BM3" s="197">
        <v>61</v>
      </c>
      <c r="BN3" s="198">
        <v>62</v>
      </c>
      <c r="BO3" s="197">
        <v>63</v>
      </c>
      <c r="BP3" s="198">
        <v>64</v>
      </c>
      <c r="BQ3" s="197">
        <v>65</v>
      </c>
      <c r="BR3" s="198">
        <v>66</v>
      </c>
      <c r="BS3" s="197">
        <v>67</v>
      </c>
      <c r="BT3" s="198">
        <v>68</v>
      </c>
      <c r="BU3" s="197">
        <v>69</v>
      </c>
      <c r="BV3" s="198">
        <v>70</v>
      </c>
      <c r="BW3" s="197">
        <v>71</v>
      </c>
      <c r="BX3" s="198">
        <v>72</v>
      </c>
      <c r="BY3" s="197">
        <v>73</v>
      </c>
      <c r="BZ3" s="198">
        <v>74</v>
      </c>
      <c r="CA3" s="197">
        <v>75</v>
      </c>
      <c r="CB3" s="198">
        <v>76</v>
      </c>
      <c r="CC3" s="197">
        <v>77</v>
      </c>
      <c r="CD3" s="198">
        <v>78</v>
      </c>
      <c r="CE3" s="197">
        <v>79</v>
      </c>
      <c r="CF3" s="198">
        <v>80</v>
      </c>
      <c r="CG3" s="197">
        <v>81</v>
      </c>
      <c r="CH3" s="198">
        <v>82</v>
      </c>
      <c r="CI3" s="197">
        <v>83</v>
      </c>
      <c r="CJ3" s="198">
        <v>84</v>
      </c>
      <c r="CK3" s="197">
        <v>85</v>
      </c>
      <c r="CL3" s="198">
        <v>86</v>
      </c>
      <c r="CM3" s="197">
        <v>87</v>
      </c>
      <c r="CN3" s="198">
        <v>88</v>
      </c>
      <c r="CO3" s="197">
        <v>89</v>
      </c>
      <c r="CP3" s="198">
        <v>90</v>
      </c>
      <c r="CQ3" s="197">
        <v>91</v>
      </c>
      <c r="CR3" s="198">
        <v>92</v>
      </c>
      <c r="CS3" s="197">
        <v>93</v>
      </c>
      <c r="CT3" s="198">
        <v>94</v>
      </c>
      <c r="CU3" s="197">
        <v>95</v>
      </c>
      <c r="CV3" s="198">
        <v>96</v>
      </c>
      <c r="CW3" s="197">
        <v>97</v>
      </c>
      <c r="CX3" s="198">
        <v>98</v>
      </c>
      <c r="CY3" s="1190">
        <v>99</v>
      </c>
    </row>
    <row r="4" spans="1:103" s="2" customFormat="1" ht="30" customHeight="1" x14ac:dyDescent="0.25">
      <c r="A4" s="1210" t="s">
        <v>1684</v>
      </c>
      <c r="B4" s="2649">
        <f>+FENECIMIENTO!D6</f>
        <v>2025</v>
      </c>
      <c r="C4" s="2650"/>
      <c r="D4" s="1194" t="s">
        <v>170</v>
      </c>
      <c r="E4" s="107" t="s">
        <v>458</v>
      </c>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10"/>
    </row>
    <row r="5" spans="1:103" s="2" customFormat="1" ht="30" customHeight="1" x14ac:dyDescent="0.25">
      <c r="A5" s="1211" t="s">
        <v>463</v>
      </c>
      <c r="B5" s="2651">
        <f>+FENECIMIENTO!K6</f>
        <v>87</v>
      </c>
      <c r="C5" s="2652"/>
      <c r="D5" s="1195" t="s">
        <v>172</v>
      </c>
      <c r="E5" s="111"/>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3"/>
    </row>
    <row r="6" spans="1:103" s="2" customFormat="1" ht="30" customHeight="1" x14ac:dyDescent="0.25">
      <c r="A6" s="1211" t="s">
        <v>462</v>
      </c>
      <c r="B6" s="2651">
        <f>+FENECIMIENTO!K5</f>
        <v>2024</v>
      </c>
      <c r="C6" s="2653"/>
      <c r="D6" s="1195" t="s">
        <v>173</v>
      </c>
      <c r="E6" s="114" t="s">
        <v>282</v>
      </c>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row>
    <row r="7" spans="1:103" s="2" customFormat="1" ht="30" customHeight="1" x14ac:dyDescent="0.25">
      <c r="A7" s="1211" t="s">
        <v>1735</v>
      </c>
      <c r="B7" s="2654">
        <f>ValorUniverso</f>
        <v>3857851547</v>
      </c>
      <c r="C7" s="2655"/>
      <c r="D7" s="1195" t="s">
        <v>174</v>
      </c>
      <c r="E7" s="115"/>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7"/>
    </row>
    <row r="8" spans="1:103" s="3" customFormat="1" ht="30" customHeight="1" x14ac:dyDescent="0.25">
      <c r="A8" s="1211" t="s">
        <v>1736</v>
      </c>
      <c r="B8" s="2656" t="str">
        <f>Riesgo</f>
        <v>MEDIO</v>
      </c>
      <c r="C8" s="2657"/>
      <c r="D8" s="1195" t="s">
        <v>175</v>
      </c>
      <c r="E8" s="118">
        <v>78985898</v>
      </c>
      <c r="F8" s="119">
        <v>148898989</v>
      </c>
      <c r="G8" s="119">
        <v>159800000</v>
      </c>
      <c r="H8" s="119">
        <v>258000000</v>
      </c>
      <c r="I8" s="119">
        <v>698705598</v>
      </c>
      <c r="J8" s="119">
        <v>89797989</v>
      </c>
      <c r="K8" s="119">
        <v>169826565</v>
      </c>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20"/>
    </row>
    <row r="9" spans="1:103" s="3" customFormat="1" ht="30" customHeight="1" x14ac:dyDescent="0.25">
      <c r="A9" s="1211" t="s">
        <v>171</v>
      </c>
      <c r="B9" s="2656">
        <f>Parametro_Min</f>
        <v>0.75</v>
      </c>
      <c r="C9" s="2657"/>
      <c r="D9" s="1195" t="s">
        <v>1743</v>
      </c>
      <c r="E9" s="118">
        <v>75000000</v>
      </c>
      <c r="F9" s="119">
        <v>10000000</v>
      </c>
      <c r="G9" s="119">
        <v>149800000</v>
      </c>
      <c r="H9" s="119">
        <v>258000000</v>
      </c>
      <c r="I9" s="119">
        <v>158963969</v>
      </c>
      <c r="J9" s="119">
        <v>89098989</v>
      </c>
      <c r="K9" s="119">
        <v>169826565</v>
      </c>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20"/>
    </row>
    <row r="10" spans="1:103" s="3" customFormat="1" ht="31.5" customHeight="1" x14ac:dyDescent="0.25">
      <c r="A10" s="1211" t="s">
        <v>1737</v>
      </c>
      <c r="B10" s="2654">
        <f>Muestra_Min</f>
        <v>964462886.75</v>
      </c>
      <c r="C10" s="2655"/>
      <c r="D10" s="1195" t="s">
        <v>180</v>
      </c>
      <c r="E10" s="111" t="s">
        <v>1747</v>
      </c>
      <c r="F10" s="112" t="s">
        <v>181</v>
      </c>
      <c r="G10" s="112" t="s">
        <v>182</v>
      </c>
      <c r="H10" s="112" t="s">
        <v>183</v>
      </c>
      <c r="I10" s="112" t="s">
        <v>184</v>
      </c>
      <c r="J10" s="112" t="s">
        <v>185</v>
      </c>
      <c r="K10" s="112" t="s">
        <v>186</v>
      </c>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3"/>
    </row>
    <row r="11" spans="1:103" s="4" customFormat="1" ht="37.5" hidden="1" customHeight="1" x14ac:dyDescent="0.25">
      <c r="A11" s="1211" t="s">
        <v>1738</v>
      </c>
      <c r="B11" s="2658" t="str">
        <f>IF(B12&gt;=B10,"SI CUMPLE","NO CUMPLE")</f>
        <v>NO CUMPLE</v>
      </c>
      <c r="C11" s="2659"/>
    </row>
    <row r="12" spans="1:103" s="4" customFormat="1" ht="37.5" customHeight="1" thickBot="1" x14ac:dyDescent="0.3">
      <c r="A12" s="1212" t="s">
        <v>176</v>
      </c>
      <c r="B12" s="2642">
        <f>SUM(E9:CY9)</f>
        <v>910689523</v>
      </c>
      <c r="C12" s="2643"/>
      <c r="D12" s="1195" t="s">
        <v>188</v>
      </c>
      <c r="E12" s="121" t="s">
        <v>459</v>
      </c>
      <c r="F12" s="122" t="s">
        <v>189</v>
      </c>
      <c r="G12" s="122" t="s">
        <v>190</v>
      </c>
      <c r="H12" s="122" t="s">
        <v>191</v>
      </c>
      <c r="I12" s="122" t="s">
        <v>191</v>
      </c>
      <c r="J12" s="122" t="s">
        <v>191</v>
      </c>
      <c r="K12" s="122" t="s">
        <v>192</v>
      </c>
      <c r="L12" s="122" t="s">
        <v>192</v>
      </c>
      <c r="M12" s="122" t="s">
        <v>191</v>
      </c>
      <c r="N12" s="122" t="s">
        <v>191</v>
      </c>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3"/>
    </row>
    <row r="13" spans="1:103" s="4" customFormat="1" ht="35.25" customHeight="1" thickBot="1" x14ac:dyDescent="0.3">
      <c r="A13" s="2641" t="s">
        <v>177</v>
      </c>
      <c r="B13" s="2641" t="s">
        <v>178</v>
      </c>
      <c r="C13" s="2660" t="s">
        <v>179</v>
      </c>
      <c r="D13" s="1196" t="s">
        <v>194</v>
      </c>
      <c r="E13" s="121" t="s">
        <v>1748</v>
      </c>
      <c r="F13" s="122" t="s">
        <v>1749</v>
      </c>
      <c r="G13" s="122" t="s">
        <v>1750</v>
      </c>
      <c r="H13" s="122" t="s">
        <v>1751</v>
      </c>
      <c r="I13" s="122" t="s">
        <v>1751</v>
      </c>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3"/>
    </row>
    <row r="14" spans="1:103" s="3" customFormat="1" ht="30" customHeight="1" thickBot="1" x14ac:dyDescent="0.3">
      <c r="A14" s="2641"/>
      <c r="B14" s="2641"/>
      <c r="C14" s="2660"/>
      <c r="D14" s="1196" t="s">
        <v>196</v>
      </c>
      <c r="E14" s="124" t="s">
        <v>436</v>
      </c>
      <c r="F14" s="124" t="s">
        <v>436</v>
      </c>
      <c r="G14" s="124" t="s">
        <v>197</v>
      </c>
      <c r="H14" s="124" t="s">
        <v>198</v>
      </c>
      <c r="I14" s="124" t="s">
        <v>197</v>
      </c>
      <c r="J14" s="124" t="s">
        <v>197</v>
      </c>
      <c r="K14" s="124" t="s">
        <v>198</v>
      </c>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188"/>
    </row>
    <row r="15" spans="1:103" s="3" customFormat="1" ht="30" customHeight="1" x14ac:dyDescent="0.25">
      <c r="A15" s="1199" t="s">
        <v>187</v>
      </c>
      <c r="B15" s="1207" t="str">
        <f>IF(C15="","",IF(C15&gt;=$B$9,"ECONOMICO","ANTIECONOMICO"))</f>
        <v>ANTIECONOMICO</v>
      </c>
      <c r="C15" s="1203">
        <f>IFERROR(IF(_ECONOMIA_CONTRATACION&lt;0,"",_ECONOMIA_CONTRATACION),"")</f>
        <v>0.73259884790203089</v>
      </c>
      <c r="D15" s="1196" t="s">
        <v>199</v>
      </c>
      <c r="E15" s="125">
        <f t="shared" ref="E15:AJ15" si="0">IFERROR(E9/$B$12,"")</f>
        <v>8.2355180449352763E-2</v>
      </c>
      <c r="F15" s="126">
        <f t="shared" si="0"/>
        <v>1.098069072658037E-2</v>
      </c>
      <c r="G15" s="126">
        <f t="shared" si="0"/>
        <v>0.16449074708417394</v>
      </c>
      <c r="H15" s="126">
        <f t="shared" si="0"/>
        <v>0.28330182074577354</v>
      </c>
      <c r="I15" s="126">
        <f t="shared" si="0"/>
        <v>0.17455341802587093</v>
      </c>
      <c r="J15" s="126">
        <f t="shared" si="0"/>
        <v>9.7836844225998629E-2</v>
      </c>
      <c r="K15" s="126">
        <f t="shared" si="0"/>
        <v>0.18648129874224983</v>
      </c>
      <c r="L15" s="126">
        <f t="shared" si="0"/>
        <v>0</v>
      </c>
      <c r="M15" s="126">
        <f t="shared" si="0"/>
        <v>0</v>
      </c>
      <c r="N15" s="126">
        <f t="shared" si="0"/>
        <v>0</v>
      </c>
      <c r="O15" s="126">
        <f t="shared" si="0"/>
        <v>0</v>
      </c>
      <c r="P15" s="126">
        <f t="shared" si="0"/>
        <v>0</v>
      </c>
      <c r="Q15" s="126">
        <f t="shared" si="0"/>
        <v>0</v>
      </c>
      <c r="R15" s="126">
        <f t="shared" si="0"/>
        <v>0</v>
      </c>
      <c r="S15" s="126">
        <f t="shared" si="0"/>
        <v>0</v>
      </c>
      <c r="T15" s="126">
        <f t="shared" si="0"/>
        <v>0</v>
      </c>
      <c r="U15" s="126">
        <f t="shared" si="0"/>
        <v>0</v>
      </c>
      <c r="V15" s="126">
        <f t="shared" si="0"/>
        <v>0</v>
      </c>
      <c r="W15" s="126">
        <f t="shared" si="0"/>
        <v>0</v>
      </c>
      <c r="X15" s="126">
        <f t="shared" si="0"/>
        <v>0</v>
      </c>
      <c r="Y15" s="126">
        <f t="shared" si="0"/>
        <v>0</v>
      </c>
      <c r="Z15" s="126">
        <f t="shared" si="0"/>
        <v>0</v>
      </c>
      <c r="AA15" s="126">
        <f t="shared" si="0"/>
        <v>0</v>
      </c>
      <c r="AB15" s="126">
        <f t="shared" si="0"/>
        <v>0</v>
      </c>
      <c r="AC15" s="126">
        <f t="shared" si="0"/>
        <v>0</v>
      </c>
      <c r="AD15" s="126">
        <f t="shared" si="0"/>
        <v>0</v>
      </c>
      <c r="AE15" s="126">
        <f t="shared" si="0"/>
        <v>0</v>
      </c>
      <c r="AF15" s="126">
        <f t="shared" si="0"/>
        <v>0</v>
      </c>
      <c r="AG15" s="126">
        <f t="shared" si="0"/>
        <v>0</v>
      </c>
      <c r="AH15" s="126">
        <f t="shared" si="0"/>
        <v>0</v>
      </c>
      <c r="AI15" s="126">
        <f t="shared" si="0"/>
        <v>0</v>
      </c>
      <c r="AJ15" s="126">
        <f t="shared" si="0"/>
        <v>0</v>
      </c>
      <c r="AK15" s="126">
        <f t="shared" ref="AK15:BP15" si="1">IFERROR(AK9/$B$12,"")</f>
        <v>0</v>
      </c>
      <c r="AL15" s="126">
        <f t="shared" si="1"/>
        <v>0</v>
      </c>
      <c r="AM15" s="126">
        <f t="shared" si="1"/>
        <v>0</v>
      </c>
      <c r="AN15" s="126">
        <f t="shared" si="1"/>
        <v>0</v>
      </c>
      <c r="AO15" s="126">
        <f t="shared" si="1"/>
        <v>0</v>
      </c>
      <c r="AP15" s="126">
        <f t="shared" si="1"/>
        <v>0</v>
      </c>
      <c r="AQ15" s="126">
        <f t="shared" si="1"/>
        <v>0</v>
      </c>
      <c r="AR15" s="126">
        <f t="shared" si="1"/>
        <v>0</v>
      </c>
      <c r="AS15" s="126">
        <f t="shared" si="1"/>
        <v>0</v>
      </c>
      <c r="AT15" s="126">
        <f t="shared" si="1"/>
        <v>0</v>
      </c>
      <c r="AU15" s="126">
        <f t="shared" si="1"/>
        <v>0</v>
      </c>
      <c r="AV15" s="126">
        <f t="shared" si="1"/>
        <v>0</v>
      </c>
      <c r="AW15" s="126">
        <f t="shared" si="1"/>
        <v>0</v>
      </c>
      <c r="AX15" s="126">
        <f t="shared" si="1"/>
        <v>0</v>
      </c>
      <c r="AY15" s="126">
        <f t="shared" si="1"/>
        <v>0</v>
      </c>
      <c r="AZ15" s="126">
        <f t="shared" si="1"/>
        <v>0</v>
      </c>
      <c r="BA15" s="126">
        <f t="shared" si="1"/>
        <v>0</v>
      </c>
      <c r="BB15" s="126">
        <f t="shared" si="1"/>
        <v>0</v>
      </c>
      <c r="BC15" s="126">
        <f t="shared" si="1"/>
        <v>0</v>
      </c>
      <c r="BD15" s="126">
        <f t="shared" si="1"/>
        <v>0</v>
      </c>
      <c r="BE15" s="126">
        <f t="shared" si="1"/>
        <v>0</v>
      </c>
      <c r="BF15" s="126">
        <f t="shared" si="1"/>
        <v>0</v>
      </c>
      <c r="BG15" s="126">
        <f t="shared" si="1"/>
        <v>0</v>
      </c>
      <c r="BH15" s="126">
        <f t="shared" si="1"/>
        <v>0</v>
      </c>
      <c r="BI15" s="126">
        <f t="shared" si="1"/>
        <v>0</v>
      </c>
      <c r="BJ15" s="126">
        <f t="shared" si="1"/>
        <v>0</v>
      </c>
      <c r="BK15" s="126">
        <f t="shared" si="1"/>
        <v>0</v>
      </c>
      <c r="BL15" s="126">
        <f t="shared" si="1"/>
        <v>0</v>
      </c>
      <c r="BM15" s="126">
        <f t="shared" si="1"/>
        <v>0</v>
      </c>
      <c r="BN15" s="126">
        <f t="shared" si="1"/>
        <v>0</v>
      </c>
      <c r="BO15" s="126">
        <f t="shared" si="1"/>
        <v>0</v>
      </c>
      <c r="BP15" s="126">
        <f t="shared" si="1"/>
        <v>0</v>
      </c>
      <c r="BQ15" s="126">
        <f t="shared" ref="BQ15:CY15" si="2">IFERROR(BQ9/$B$12,"")</f>
        <v>0</v>
      </c>
      <c r="BR15" s="126">
        <f t="shared" si="2"/>
        <v>0</v>
      </c>
      <c r="BS15" s="126">
        <f t="shared" si="2"/>
        <v>0</v>
      </c>
      <c r="BT15" s="126">
        <f t="shared" si="2"/>
        <v>0</v>
      </c>
      <c r="BU15" s="126">
        <f t="shared" si="2"/>
        <v>0</v>
      </c>
      <c r="BV15" s="126">
        <f t="shared" si="2"/>
        <v>0</v>
      </c>
      <c r="BW15" s="126">
        <f t="shared" si="2"/>
        <v>0</v>
      </c>
      <c r="BX15" s="126">
        <f t="shared" si="2"/>
        <v>0</v>
      </c>
      <c r="BY15" s="126">
        <f t="shared" si="2"/>
        <v>0</v>
      </c>
      <c r="BZ15" s="126">
        <f t="shared" si="2"/>
        <v>0</v>
      </c>
      <c r="CA15" s="126">
        <f t="shared" si="2"/>
        <v>0</v>
      </c>
      <c r="CB15" s="126">
        <f t="shared" si="2"/>
        <v>0</v>
      </c>
      <c r="CC15" s="126">
        <f t="shared" si="2"/>
        <v>0</v>
      </c>
      <c r="CD15" s="126">
        <f t="shared" si="2"/>
        <v>0</v>
      </c>
      <c r="CE15" s="126">
        <f t="shared" si="2"/>
        <v>0</v>
      </c>
      <c r="CF15" s="126">
        <f t="shared" si="2"/>
        <v>0</v>
      </c>
      <c r="CG15" s="126">
        <f t="shared" si="2"/>
        <v>0</v>
      </c>
      <c r="CH15" s="126">
        <f t="shared" si="2"/>
        <v>0</v>
      </c>
      <c r="CI15" s="126">
        <f t="shared" si="2"/>
        <v>0</v>
      </c>
      <c r="CJ15" s="126">
        <f t="shared" si="2"/>
        <v>0</v>
      </c>
      <c r="CK15" s="126">
        <f t="shared" si="2"/>
        <v>0</v>
      </c>
      <c r="CL15" s="126">
        <f t="shared" si="2"/>
        <v>0</v>
      </c>
      <c r="CM15" s="126">
        <f t="shared" si="2"/>
        <v>0</v>
      </c>
      <c r="CN15" s="126">
        <f t="shared" si="2"/>
        <v>0</v>
      </c>
      <c r="CO15" s="126">
        <f t="shared" si="2"/>
        <v>0</v>
      </c>
      <c r="CP15" s="126">
        <f t="shared" si="2"/>
        <v>0</v>
      </c>
      <c r="CQ15" s="126">
        <f t="shared" si="2"/>
        <v>0</v>
      </c>
      <c r="CR15" s="126">
        <f t="shared" si="2"/>
        <v>0</v>
      </c>
      <c r="CS15" s="126">
        <f t="shared" si="2"/>
        <v>0</v>
      </c>
      <c r="CT15" s="126">
        <f t="shared" si="2"/>
        <v>0</v>
      </c>
      <c r="CU15" s="126">
        <f t="shared" si="2"/>
        <v>0</v>
      </c>
      <c r="CV15" s="126">
        <f t="shared" si="2"/>
        <v>0</v>
      </c>
      <c r="CW15" s="126">
        <f t="shared" si="2"/>
        <v>0</v>
      </c>
      <c r="CX15" s="126">
        <f t="shared" si="2"/>
        <v>0</v>
      </c>
      <c r="CY15" s="1189">
        <f t="shared" si="2"/>
        <v>0</v>
      </c>
    </row>
    <row r="16" spans="1:103" s="3" customFormat="1" ht="35.25" customHeight="1" x14ac:dyDescent="0.25">
      <c r="A16" s="1200" t="s">
        <v>193</v>
      </c>
      <c r="B16" s="1200" t="str">
        <f>IF(C16="","",IF(C16&gt;=$B$9,"EFICAZ","INEFICAZ"))</f>
        <v>INEFICAZ</v>
      </c>
      <c r="C16" s="1204">
        <f>IFERROR(IF(_EFICACIA_CONTRATACION&lt;0,"",_EFICACIA_CONTRATACION),"")</f>
        <v>0.73269837205523991</v>
      </c>
      <c r="D16" s="1196" t="s">
        <v>201</v>
      </c>
      <c r="E16" s="127" t="s">
        <v>296</v>
      </c>
      <c r="F16" s="128" t="s">
        <v>204</v>
      </c>
      <c r="G16" s="128" t="s">
        <v>294</v>
      </c>
      <c r="H16" s="128" t="s">
        <v>205</v>
      </c>
      <c r="I16" s="128" t="s">
        <v>203</v>
      </c>
      <c r="J16" s="128" t="s">
        <v>204</v>
      </c>
      <c r="K16" s="128" t="s">
        <v>205</v>
      </c>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9"/>
    </row>
    <row r="17" spans="1:103" s="5" customFormat="1" ht="30" customHeight="1" thickBot="1" x14ac:dyDescent="0.3">
      <c r="A17" s="1201" t="s">
        <v>195</v>
      </c>
      <c r="B17" s="1208" t="str">
        <f>IF(C17="","",IF(C17&gt;=$B$9,"EFICIENTE","DEFICIENTE"))</f>
        <v>DEFICIENTE</v>
      </c>
      <c r="C17" s="1205">
        <f>IFERROR(IF(_EFICIENCIA_CONTRATACION&lt;0,"",_EFICIENCIA_CONTRATACION),"")</f>
        <v>0.7380806175037109</v>
      </c>
      <c r="D17" s="1196" t="s">
        <v>1744</v>
      </c>
      <c r="E17" s="130"/>
      <c r="F17" s="131"/>
      <c r="G17" s="131">
        <v>100000000</v>
      </c>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2"/>
    </row>
    <row r="18" spans="1:103" s="5" customFormat="1" ht="33.75" customHeight="1" thickBot="1" x14ac:dyDescent="0.3">
      <c r="A18" s="1202" t="s">
        <v>200</v>
      </c>
      <c r="B18" s="1209" t="str">
        <f>IFERROR(
IF(AND(C18&gt;=$B$9,OR(B15&lt;&gt;"ECONOMICO",B16&lt;&gt;"EFICAZ",B17&lt;&gt;"EFICIENTE")),"MODERADAMENTE EFECTIVO",
IF($B$8="BAJO",VLOOKUP($C$18,TablaConcepto[],4,TRUE),IF($B$8="MEDIO",VLOOKUP($C$18,TablaConcepto[[MEDIO]:[Concepto]],3,TRUE),VLOOKUP($C$18,TablaConcepto[[ALTO]:[Concepto]],2,TRUE)))),
"")</f>
        <v>CON OBSERVACIONES</v>
      </c>
      <c r="C18" s="1206">
        <f>IFERROR(AVERAGE(C15:C17),"")</f>
        <v>0.73445927915366049</v>
      </c>
      <c r="D18" s="1197" t="s">
        <v>206</v>
      </c>
      <c r="E18" s="133"/>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5"/>
    </row>
    <row r="19" spans="1:103" s="6" customFormat="1" ht="35.25" customHeight="1" x14ac:dyDescent="0.25"/>
    <row r="20" spans="1:103" s="7" customFormat="1" ht="25.5" customHeight="1" thickBot="1" x14ac:dyDescent="0.3">
      <c r="A20" s="5"/>
      <c r="B20" s="1138" t="b">
        <f>AND(C18&gt;=B9,OR(B15&lt;&gt;"ECONOMICO",B16&lt;&gt;"EFICAZ",B17&lt;&gt;"EFICIENTE"))</f>
        <v>0</v>
      </c>
      <c r="C20" s="5"/>
      <c r="D20" s="136"/>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row>
    <row r="21" spans="1:103" s="8" customFormat="1" ht="24.75" thickBot="1" x14ac:dyDescent="0.3">
      <c r="A21" s="1139" t="s">
        <v>207</v>
      </c>
      <c r="B21" s="1140" t="s">
        <v>208</v>
      </c>
      <c r="C21" s="1140" t="s">
        <v>209</v>
      </c>
      <c r="D21" s="1141" t="s">
        <v>210</v>
      </c>
      <c r="E21" s="139" t="s">
        <v>211</v>
      </c>
      <c r="F21" s="140" t="s">
        <v>211</v>
      </c>
      <c r="G21" s="140" t="s">
        <v>211</v>
      </c>
      <c r="H21" s="140" t="s">
        <v>211</v>
      </c>
      <c r="I21" s="140" t="s">
        <v>211</v>
      </c>
      <c r="J21" s="140" t="s">
        <v>211</v>
      </c>
      <c r="K21" s="140" t="s">
        <v>211</v>
      </c>
      <c r="L21" s="140" t="s">
        <v>211</v>
      </c>
      <c r="M21" s="140" t="s">
        <v>211</v>
      </c>
      <c r="N21" s="140" t="s">
        <v>211</v>
      </c>
      <c r="O21" s="140" t="s">
        <v>211</v>
      </c>
      <c r="P21" s="140" t="s">
        <v>211</v>
      </c>
      <c r="Q21" s="140" t="s">
        <v>211</v>
      </c>
      <c r="R21" s="140" t="s">
        <v>211</v>
      </c>
      <c r="S21" s="140" t="s">
        <v>211</v>
      </c>
      <c r="T21" s="140" t="s">
        <v>211</v>
      </c>
      <c r="U21" s="140" t="s">
        <v>211</v>
      </c>
      <c r="V21" s="140" t="s">
        <v>211</v>
      </c>
      <c r="W21" s="140" t="s">
        <v>211</v>
      </c>
      <c r="X21" s="140" t="s">
        <v>211</v>
      </c>
      <c r="Y21" s="140" t="s">
        <v>211</v>
      </c>
      <c r="Z21" s="140" t="s">
        <v>211</v>
      </c>
      <c r="AA21" s="140" t="s">
        <v>211</v>
      </c>
      <c r="AB21" s="140" t="s">
        <v>211</v>
      </c>
      <c r="AC21" s="140" t="s">
        <v>211</v>
      </c>
      <c r="AD21" s="140" t="s">
        <v>211</v>
      </c>
      <c r="AE21" s="140" t="s">
        <v>211</v>
      </c>
      <c r="AF21" s="140" t="s">
        <v>211</v>
      </c>
      <c r="AG21" s="140" t="s">
        <v>211</v>
      </c>
      <c r="AH21" s="140" t="s">
        <v>211</v>
      </c>
      <c r="AI21" s="140" t="s">
        <v>211</v>
      </c>
      <c r="AJ21" s="140" t="s">
        <v>211</v>
      </c>
      <c r="AK21" s="140" t="s">
        <v>211</v>
      </c>
      <c r="AL21" s="140" t="s">
        <v>211</v>
      </c>
      <c r="AM21" s="140" t="s">
        <v>211</v>
      </c>
      <c r="AN21" s="140" t="s">
        <v>211</v>
      </c>
      <c r="AO21" s="140" t="s">
        <v>211</v>
      </c>
      <c r="AP21" s="140" t="s">
        <v>211</v>
      </c>
      <c r="AQ21" s="140" t="s">
        <v>211</v>
      </c>
      <c r="AR21" s="140" t="s">
        <v>211</v>
      </c>
      <c r="AS21" s="140" t="s">
        <v>211</v>
      </c>
      <c r="AT21" s="140" t="s">
        <v>211</v>
      </c>
      <c r="AU21" s="140" t="s">
        <v>211</v>
      </c>
      <c r="AV21" s="140" t="s">
        <v>211</v>
      </c>
      <c r="AW21" s="140" t="s">
        <v>211</v>
      </c>
      <c r="AX21" s="140" t="s">
        <v>211</v>
      </c>
      <c r="AY21" s="140" t="s">
        <v>211</v>
      </c>
      <c r="AZ21" s="140" t="s">
        <v>211</v>
      </c>
      <c r="BA21" s="140" t="s">
        <v>211</v>
      </c>
      <c r="BB21" s="140" t="s">
        <v>211</v>
      </c>
      <c r="BC21" s="140" t="s">
        <v>211</v>
      </c>
      <c r="BD21" s="140" t="s">
        <v>211</v>
      </c>
      <c r="BE21" s="140" t="s">
        <v>211</v>
      </c>
      <c r="BF21" s="140" t="s">
        <v>211</v>
      </c>
      <c r="BG21" s="140" t="s">
        <v>211</v>
      </c>
      <c r="BH21" s="140" t="s">
        <v>211</v>
      </c>
      <c r="BI21" s="140" t="s">
        <v>211</v>
      </c>
      <c r="BJ21" s="140" t="s">
        <v>211</v>
      </c>
      <c r="BK21" s="140" t="s">
        <v>211</v>
      </c>
      <c r="BL21" s="140" t="s">
        <v>211</v>
      </c>
      <c r="BM21" s="140" t="s">
        <v>211</v>
      </c>
      <c r="BN21" s="140" t="s">
        <v>211</v>
      </c>
      <c r="BO21" s="140" t="s">
        <v>211</v>
      </c>
      <c r="BP21" s="140" t="s">
        <v>211</v>
      </c>
      <c r="BQ21" s="140" t="s">
        <v>211</v>
      </c>
      <c r="BR21" s="140" t="s">
        <v>211</v>
      </c>
      <c r="BS21" s="140" t="s">
        <v>211</v>
      </c>
      <c r="BT21" s="140" t="s">
        <v>211</v>
      </c>
      <c r="BU21" s="140" t="s">
        <v>211</v>
      </c>
      <c r="BV21" s="140" t="s">
        <v>211</v>
      </c>
      <c r="BW21" s="140" t="s">
        <v>211</v>
      </c>
      <c r="BX21" s="140" t="s">
        <v>211</v>
      </c>
      <c r="BY21" s="140" t="s">
        <v>211</v>
      </c>
      <c r="BZ21" s="140" t="s">
        <v>211</v>
      </c>
      <c r="CA21" s="140" t="s">
        <v>211</v>
      </c>
      <c r="CB21" s="140" t="s">
        <v>211</v>
      </c>
      <c r="CC21" s="140" t="s">
        <v>211</v>
      </c>
      <c r="CD21" s="140" t="s">
        <v>211</v>
      </c>
      <c r="CE21" s="140" t="s">
        <v>211</v>
      </c>
      <c r="CF21" s="140" t="s">
        <v>211</v>
      </c>
      <c r="CG21" s="140" t="s">
        <v>211</v>
      </c>
      <c r="CH21" s="140" t="s">
        <v>211</v>
      </c>
      <c r="CI21" s="140" t="s">
        <v>211</v>
      </c>
      <c r="CJ21" s="140" t="s">
        <v>211</v>
      </c>
      <c r="CK21" s="140" t="s">
        <v>211</v>
      </c>
      <c r="CL21" s="140" t="s">
        <v>211</v>
      </c>
      <c r="CM21" s="140" t="s">
        <v>211</v>
      </c>
      <c r="CN21" s="140" t="s">
        <v>211</v>
      </c>
      <c r="CO21" s="140" t="s">
        <v>211</v>
      </c>
      <c r="CP21" s="140" t="s">
        <v>211</v>
      </c>
      <c r="CQ21" s="140" t="s">
        <v>211</v>
      </c>
      <c r="CR21" s="140" t="s">
        <v>211</v>
      </c>
      <c r="CS21" s="140" t="s">
        <v>211</v>
      </c>
      <c r="CT21" s="140" t="s">
        <v>211</v>
      </c>
      <c r="CU21" s="140" t="s">
        <v>211</v>
      </c>
      <c r="CV21" s="140" t="s">
        <v>211</v>
      </c>
      <c r="CW21" s="140" t="s">
        <v>211</v>
      </c>
      <c r="CX21" s="140" t="s">
        <v>211</v>
      </c>
      <c r="CY21" s="141" t="s">
        <v>211</v>
      </c>
    </row>
    <row r="22" spans="1:103" s="1" customFormat="1" ht="87" customHeight="1" x14ac:dyDescent="0.25">
      <c r="A22" s="2664" t="s">
        <v>212</v>
      </c>
      <c r="B22" s="142" t="s">
        <v>213</v>
      </c>
      <c r="C22" s="143" t="s">
        <v>193</v>
      </c>
      <c r="D22" s="144" t="s">
        <v>214</v>
      </c>
      <c r="E22" s="145">
        <v>1</v>
      </c>
      <c r="F22" s="146">
        <v>0.9</v>
      </c>
      <c r="G22" s="146">
        <v>0.3</v>
      </c>
      <c r="H22" s="146">
        <v>1</v>
      </c>
      <c r="I22" s="146">
        <v>1</v>
      </c>
      <c r="J22" s="146">
        <v>1</v>
      </c>
      <c r="K22" s="146">
        <v>1</v>
      </c>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7"/>
    </row>
    <row r="23" spans="1:103" s="1" customFormat="1" ht="96.75" customHeight="1" x14ac:dyDescent="0.25">
      <c r="A23" s="2665"/>
      <c r="B23" s="142" t="s">
        <v>215</v>
      </c>
      <c r="C23" s="143" t="s">
        <v>193</v>
      </c>
      <c r="D23" s="144" t="s">
        <v>216</v>
      </c>
      <c r="E23" s="148">
        <v>1</v>
      </c>
      <c r="F23" s="149">
        <v>1</v>
      </c>
      <c r="G23" s="149">
        <v>1</v>
      </c>
      <c r="H23" s="149">
        <v>1</v>
      </c>
      <c r="I23" s="149">
        <v>1</v>
      </c>
      <c r="J23" s="149">
        <v>0.9</v>
      </c>
      <c r="K23" s="149">
        <v>0.9</v>
      </c>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50"/>
    </row>
    <row r="24" spans="1:103" s="1" customFormat="1" ht="69" customHeight="1" x14ac:dyDescent="0.25">
      <c r="A24" s="2665"/>
      <c r="B24" s="142" t="s">
        <v>217</v>
      </c>
      <c r="C24" s="143" t="s">
        <v>187</v>
      </c>
      <c r="D24" s="144" t="s">
        <v>218</v>
      </c>
      <c r="E24" s="148">
        <v>1</v>
      </c>
      <c r="F24" s="149">
        <v>0.9</v>
      </c>
      <c r="G24" s="149">
        <v>0.9</v>
      </c>
      <c r="H24" s="149">
        <v>0.9</v>
      </c>
      <c r="I24" s="149">
        <v>1</v>
      </c>
      <c r="J24" s="149">
        <v>1</v>
      </c>
      <c r="K24" s="149">
        <v>1</v>
      </c>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50"/>
    </row>
    <row r="25" spans="1:103" s="1" customFormat="1" ht="45" customHeight="1" x14ac:dyDescent="0.25">
      <c r="A25" s="2665"/>
      <c r="B25" s="142" t="s">
        <v>219</v>
      </c>
      <c r="C25" s="143" t="s">
        <v>193</v>
      </c>
      <c r="D25" s="144" t="s">
        <v>220</v>
      </c>
      <c r="E25" s="148">
        <v>1</v>
      </c>
      <c r="F25" s="149">
        <v>1</v>
      </c>
      <c r="G25" s="149">
        <v>0.85</v>
      </c>
      <c r="H25" s="149"/>
      <c r="I25" s="149">
        <v>1</v>
      </c>
      <c r="J25" s="149">
        <v>0.8</v>
      </c>
      <c r="K25" s="149">
        <v>0.8</v>
      </c>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50"/>
    </row>
    <row r="26" spans="1:103" s="1" customFormat="1" ht="70.5" customHeight="1" x14ac:dyDescent="0.25">
      <c r="A26" s="2665"/>
      <c r="B26" s="2667" t="s">
        <v>221</v>
      </c>
      <c r="C26" s="143" t="s">
        <v>187</v>
      </c>
      <c r="D26" s="144" t="s">
        <v>222</v>
      </c>
      <c r="E26" s="148">
        <v>1</v>
      </c>
      <c r="F26" s="149">
        <v>0.9</v>
      </c>
      <c r="G26" s="149">
        <v>0.85</v>
      </c>
      <c r="H26" s="149">
        <v>1</v>
      </c>
      <c r="I26" s="149">
        <v>1</v>
      </c>
      <c r="J26" s="149">
        <v>0.8</v>
      </c>
      <c r="K26" s="149">
        <v>0.8</v>
      </c>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50"/>
    </row>
    <row r="27" spans="1:103" s="1" customFormat="1" ht="70.5" customHeight="1" x14ac:dyDescent="0.25">
      <c r="A27" s="2665"/>
      <c r="B27" s="2668"/>
      <c r="C27" s="143" t="s">
        <v>193</v>
      </c>
      <c r="D27" s="144" t="s">
        <v>223</v>
      </c>
      <c r="E27" s="148">
        <v>1</v>
      </c>
      <c r="F27" s="149">
        <v>1</v>
      </c>
      <c r="G27" s="149">
        <v>0.8</v>
      </c>
      <c r="H27" s="149"/>
      <c r="I27" s="149">
        <v>1</v>
      </c>
      <c r="J27" s="149">
        <v>1</v>
      </c>
      <c r="K27" s="149">
        <v>1</v>
      </c>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50"/>
    </row>
    <row r="28" spans="1:103" s="1" customFormat="1" ht="61.5" customHeight="1" x14ac:dyDescent="0.25">
      <c r="A28" s="2665"/>
      <c r="B28" s="2669"/>
      <c r="C28" s="143" t="s">
        <v>187</v>
      </c>
      <c r="D28" s="144" t="s">
        <v>224</v>
      </c>
      <c r="E28" s="148">
        <v>1</v>
      </c>
      <c r="F28" s="149">
        <v>0.9</v>
      </c>
      <c r="G28" s="149">
        <v>1</v>
      </c>
      <c r="H28" s="149"/>
      <c r="I28" s="149">
        <v>1</v>
      </c>
      <c r="J28" s="149">
        <v>1</v>
      </c>
      <c r="K28" s="149">
        <v>1</v>
      </c>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50"/>
    </row>
    <row r="29" spans="1:103" s="1" customFormat="1" ht="55.5" customHeight="1" x14ac:dyDescent="0.25">
      <c r="A29" s="2665"/>
      <c r="B29" s="2670" t="s">
        <v>225</v>
      </c>
      <c r="C29" s="143" t="s">
        <v>187</v>
      </c>
      <c r="D29" s="144" t="s">
        <v>226</v>
      </c>
      <c r="E29" s="148">
        <v>1</v>
      </c>
      <c r="F29" s="149">
        <v>0.85</v>
      </c>
      <c r="G29" s="149">
        <v>0.9</v>
      </c>
      <c r="H29" s="149">
        <v>1</v>
      </c>
      <c r="I29" s="149">
        <v>1</v>
      </c>
      <c r="J29" s="149">
        <v>1</v>
      </c>
      <c r="K29" s="149">
        <v>1</v>
      </c>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50"/>
    </row>
    <row r="30" spans="1:103" s="1" customFormat="1" ht="35.25" customHeight="1" x14ac:dyDescent="0.25">
      <c r="A30" s="2665"/>
      <c r="B30" s="2670"/>
      <c r="C30" s="143" t="s">
        <v>227</v>
      </c>
      <c r="D30" s="2671" t="s">
        <v>228</v>
      </c>
      <c r="E30" s="148">
        <v>1</v>
      </c>
      <c r="F30" s="149">
        <v>0.9</v>
      </c>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50"/>
    </row>
    <row r="31" spans="1:103" s="1" customFormat="1" ht="32.25" customHeight="1" x14ac:dyDescent="0.25">
      <c r="A31" s="2665"/>
      <c r="B31" s="2670"/>
      <c r="C31" s="143" t="s">
        <v>193</v>
      </c>
      <c r="D31" s="2672"/>
      <c r="E31" s="148">
        <v>1</v>
      </c>
      <c r="F31" s="149">
        <v>1</v>
      </c>
      <c r="G31" s="149">
        <v>0.8</v>
      </c>
      <c r="H31" s="149">
        <v>0.9</v>
      </c>
      <c r="I31" s="149">
        <v>1</v>
      </c>
      <c r="J31" s="149">
        <v>0.7</v>
      </c>
      <c r="K31" s="149">
        <v>0.7</v>
      </c>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50"/>
    </row>
    <row r="32" spans="1:103" s="1" customFormat="1" ht="75.75" customHeight="1" x14ac:dyDescent="0.25">
      <c r="A32" s="2665"/>
      <c r="B32" s="2670"/>
      <c r="C32" s="143" t="s">
        <v>193</v>
      </c>
      <c r="D32" s="144" t="s">
        <v>229</v>
      </c>
      <c r="E32" s="148"/>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50"/>
    </row>
    <row r="33" spans="1:103" s="1" customFormat="1" ht="69.75" customHeight="1" x14ac:dyDescent="0.25">
      <c r="A33" s="2665"/>
      <c r="B33" s="2670" t="s">
        <v>230</v>
      </c>
      <c r="C33" s="143" t="s">
        <v>193</v>
      </c>
      <c r="D33" s="144" t="s">
        <v>231</v>
      </c>
      <c r="E33" s="148"/>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50"/>
    </row>
    <row r="34" spans="1:103" s="1" customFormat="1" ht="48" customHeight="1" x14ac:dyDescent="0.25">
      <c r="A34" s="2665"/>
      <c r="B34" s="2670"/>
      <c r="C34" s="143" t="s">
        <v>187</v>
      </c>
      <c r="D34" s="144" t="s">
        <v>232</v>
      </c>
      <c r="E34" s="148">
        <v>1</v>
      </c>
      <c r="F34" s="149">
        <v>0.9</v>
      </c>
      <c r="G34" s="149">
        <v>0.7</v>
      </c>
      <c r="H34" s="149">
        <v>0.9</v>
      </c>
      <c r="I34" s="149">
        <v>1</v>
      </c>
      <c r="J34" s="149">
        <v>1</v>
      </c>
      <c r="K34" s="149">
        <v>1</v>
      </c>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50"/>
    </row>
    <row r="35" spans="1:103" s="1" customFormat="1" ht="30" customHeight="1" x14ac:dyDescent="0.25">
      <c r="A35" s="2665"/>
      <c r="B35" s="2670"/>
      <c r="C35" s="143" t="s">
        <v>187</v>
      </c>
      <c r="D35" s="2671" t="s">
        <v>233</v>
      </c>
      <c r="E35" s="148"/>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50"/>
    </row>
    <row r="36" spans="1:103" s="1" customFormat="1" ht="30.75" customHeight="1" x14ac:dyDescent="0.25">
      <c r="A36" s="2666"/>
      <c r="B36" s="2670"/>
      <c r="C36" s="143" t="s">
        <v>193</v>
      </c>
      <c r="D36" s="2672"/>
      <c r="E36" s="148">
        <v>1</v>
      </c>
      <c r="F36" s="149">
        <v>1</v>
      </c>
      <c r="G36" s="149">
        <v>1</v>
      </c>
      <c r="H36" s="149">
        <v>1</v>
      </c>
      <c r="I36" s="149">
        <v>1</v>
      </c>
      <c r="J36" s="149">
        <v>1</v>
      </c>
      <c r="K36" s="149">
        <v>1</v>
      </c>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50"/>
    </row>
    <row r="37" spans="1:103" s="1" customFormat="1" ht="59.25" customHeight="1" x14ac:dyDescent="0.25">
      <c r="A37" s="2673" t="s">
        <v>234</v>
      </c>
      <c r="B37" s="2663" t="s">
        <v>235</v>
      </c>
      <c r="C37" s="151" t="s">
        <v>193</v>
      </c>
      <c r="D37" s="152" t="s">
        <v>236</v>
      </c>
      <c r="E37" s="247">
        <v>0.9</v>
      </c>
      <c r="F37" s="248">
        <v>0.9</v>
      </c>
      <c r="G37" s="248">
        <v>0.8</v>
      </c>
      <c r="H37" s="248">
        <v>0.9</v>
      </c>
      <c r="I37" s="248">
        <v>1</v>
      </c>
      <c r="J37" s="248">
        <v>0.7</v>
      </c>
      <c r="K37" s="248">
        <v>0.7</v>
      </c>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9"/>
    </row>
    <row r="38" spans="1:103" s="1" customFormat="1" ht="39" customHeight="1" x14ac:dyDescent="0.25">
      <c r="A38" s="2673"/>
      <c r="B38" s="2663"/>
      <c r="C38" s="151" t="s">
        <v>227</v>
      </c>
      <c r="D38" s="2661" t="s">
        <v>237</v>
      </c>
      <c r="E38" s="247">
        <v>1</v>
      </c>
      <c r="F38" s="248">
        <v>0.9</v>
      </c>
      <c r="G38" s="248">
        <v>0.9</v>
      </c>
      <c r="H38" s="248">
        <v>0.8</v>
      </c>
      <c r="I38" s="248">
        <v>1</v>
      </c>
      <c r="J38" s="248">
        <v>1</v>
      </c>
      <c r="K38" s="248">
        <v>1</v>
      </c>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9"/>
    </row>
    <row r="39" spans="1:103" s="1" customFormat="1" ht="33.75" customHeight="1" x14ac:dyDescent="0.25">
      <c r="A39" s="2673"/>
      <c r="B39" s="2663"/>
      <c r="C39" s="151" t="s">
        <v>195</v>
      </c>
      <c r="D39" s="2662"/>
      <c r="E39" s="247">
        <v>0.8</v>
      </c>
      <c r="F39" s="248">
        <v>0.9</v>
      </c>
      <c r="G39" s="248">
        <v>0.7</v>
      </c>
      <c r="H39" s="248">
        <v>0.8</v>
      </c>
      <c r="I39" s="248">
        <v>1</v>
      </c>
      <c r="J39" s="248">
        <v>1</v>
      </c>
      <c r="K39" s="248">
        <v>1</v>
      </c>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9"/>
    </row>
    <row r="40" spans="1:103" s="1" customFormat="1" ht="23.25" customHeight="1" x14ac:dyDescent="0.25">
      <c r="A40" s="2673"/>
      <c r="B40" s="2663"/>
      <c r="C40" s="151" t="s">
        <v>227</v>
      </c>
      <c r="D40" s="2661" t="s">
        <v>238</v>
      </c>
      <c r="E40" s="247"/>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9"/>
    </row>
    <row r="41" spans="1:103" s="1" customFormat="1" ht="24.75" customHeight="1" x14ac:dyDescent="0.25">
      <c r="A41" s="2673"/>
      <c r="B41" s="2663"/>
      <c r="C41" s="151" t="s">
        <v>195</v>
      </c>
      <c r="D41" s="2662"/>
      <c r="E41" s="247">
        <v>1</v>
      </c>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9"/>
    </row>
    <row r="42" spans="1:103" s="1" customFormat="1" ht="39" customHeight="1" x14ac:dyDescent="0.25">
      <c r="A42" s="2673"/>
      <c r="B42" s="2663"/>
      <c r="C42" s="151" t="s">
        <v>187</v>
      </c>
      <c r="D42" s="152" t="s">
        <v>239</v>
      </c>
      <c r="E42" s="247">
        <v>1</v>
      </c>
      <c r="F42" s="248">
        <v>0.9</v>
      </c>
      <c r="G42" s="248">
        <v>0.8</v>
      </c>
      <c r="H42" s="248">
        <v>0.8</v>
      </c>
      <c r="I42" s="248">
        <v>1</v>
      </c>
      <c r="J42" s="248">
        <v>1</v>
      </c>
      <c r="K42" s="248">
        <v>1</v>
      </c>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9"/>
    </row>
    <row r="43" spans="1:103" s="1" customFormat="1" ht="32.25" customHeight="1" x14ac:dyDescent="0.25">
      <c r="A43" s="2673"/>
      <c r="B43" s="2663"/>
      <c r="C43" s="151" t="s">
        <v>227</v>
      </c>
      <c r="D43" s="2661" t="s">
        <v>240</v>
      </c>
      <c r="E43" s="247">
        <v>1</v>
      </c>
      <c r="F43" s="248">
        <v>0.9</v>
      </c>
      <c r="G43" s="248">
        <v>0.8</v>
      </c>
      <c r="H43" s="248">
        <v>0.8</v>
      </c>
      <c r="I43" s="248">
        <v>1</v>
      </c>
      <c r="J43" s="248">
        <v>1</v>
      </c>
      <c r="K43" s="248">
        <v>1</v>
      </c>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9"/>
    </row>
    <row r="44" spans="1:103" s="1" customFormat="1" ht="30" customHeight="1" x14ac:dyDescent="0.25">
      <c r="A44" s="2673"/>
      <c r="B44" s="2663"/>
      <c r="C44" s="151" t="s">
        <v>193</v>
      </c>
      <c r="D44" s="2662"/>
      <c r="E44" s="247">
        <v>1</v>
      </c>
      <c r="F44" s="248">
        <v>0.85</v>
      </c>
      <c r="G44" s="248">
        <v>1</v>
      </c>
      <c r="H44" s="248"/>
      <c r="I44" s="248">
        <v>1</v>
      </c>
      <c r="J44" s="248">
        <v>1</v>
      </c>
      <c r="K44" s="248">
        <v>1</v>
      </c>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9"/>
    </row>
    <row r="45" spans="1:103" s="1" customFormat="1" ht="32.25" customHeight="1" x14ac:dyDescent="0.25">
      <c r="A45" s="2673"/>
      <c r="B45" s="2663" t="s">
        <v>241</v>
      </c>
      <c r="C45" s="151" t="s">
        <v>227</v>
      </c>
      <c r="D45" s="2661" t="s">
        <v>242</v>
      </c>
      <c r="E45" s="247">
        <v>1</v>
      </c>
      <c r="F45" s="248">
        <v>0.9</v>
      </c>
      <c r="G45" s="248">
        <v>0.85</v>
      </c>
      <c r="H45" s="248">
        <v>0.5</v>
      </c>
      <c r="I45" s="248">
        <v>1</v>
      </c>
      <c r="J45" s="248">
        <v>1</v>
      </c>
      <c r="K45" s="248">
        <v>1</v>
      </c>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9"/>
    </row>
    <row r="46" spans="1:103" s="1" customFormat="1" ht="27.75" customHeight="1" x14ac:dyDescent="0.25">
      <c r="A46" s="2673"/>
      <c r="B46" s="2663"/>
      <c r="C46" s="151" t="s">
        <v>195</v>
      </c>
      <c r="D46" s="2662"/>
      <c r="E46" s="247"/>
      <c r="F46" s="248"/>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9"/>
    </row>
    <row r="47" spans="1:103" s="1" customFormat="1" ht="51" x14ac:dyDescent="0.25">
      <c r="A47" s="2673"/>
      <c r="B47" s="2663"/>
      <c r="C47" s="151" t="s">
        <v>193</v>
      </c>
      <c r="D47" s="152" t="s">
        <v>243</v>
      </c>
      <c r="E47" s="247"/>
      <c r="F47" s="248"/>
      <c r="G47" s="248">
        <v>0.9</v>
      </c>
      <c r="H47" s="248">
        <v>0.7</v>
      </c>
      <c r="I47" s="248">
        <v>1</v>
      </c>
      <c r="J47" s="248">
        <v>0.7</v>
      </c>
      <c r="K47" s="248">
        <v>0.7</v>
      </c>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9"/>
    </row>
    <row r="48" spans="1:103" s="1" customFormat="1" ht="63.75" x14ac:dyDescent="0.25">
      <c r="A48" s="2673"/>
      <c r="B48" s="2663"/>
      <c r="C48" s="151" t="s">
        <v>193</v>
      </c>
      <c r="D48" s="152" t="s">
        <v>244</v>
      </c>
      <c r="E48" s="247"/>
      <c r="F48" s="248"/>
      <c r="G48" s="248">
        <v>0.8</v>
      </c>
      <c r="H48" s="248"/>
      <c r="I48" s="248">
        <v>1</v>
      </c>
      <c r="J48" s="248">
        <v>1</v>
      </c>
      <c r="K48" s="248">
        <v>1</v>
      </c>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9"/>
    </row>
    <row r="49" spans="1:103" s="1" customFormat="1" ht="51" x14ac:dyDescent="0.25">
      <c r="A49" s="2673"/>
      <c r="B49" s="1180" t="s">
        <v>245</v>
      </c>
      <c r="C49" s="151" t="s">
        <v>227</v>
      </c>
      <c r="D49" s="1181" t="s">
        <v>246</v>
      </c>
      <c r="E49" s="247"/>
      <c r="F49" s="248"/>
      <c r="G49" s="248">
        <v>0.9</v>
      </c>
      <c r="H49" s="248"/>
      <c r="I49" s="248">
        <v>1</v>
      </c>
      <c r="J49" s="248">
        <v>1</v>
      </c>
      <c r="K49" s="248">
        <v>1</v>
      </c>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9"/>
    </row>
    <row r="50" spans="1:103" s="1" customFormat="1" ht="45.75" customHeight="1" x14ac:dyDescent="0.25">
      <c r="A50" s="2673"/>
      <c r="B50" s="2663" t="s">
        <v>247</v>
      </c>
      <c r="C50" s="151" t="s">
        <v>193</v>
      </c>
      <c r="D50" s="152" t="s">
        <v>248</v>
      </c>
      <c r="E50" s="247"/>
      <c r="F50" s="248">
        <v>1</v>
      </c>
      <c r="G50" s="248">
        <v>1</v>
      </c>
      <c r="H50" s="248">
        <v>1</v>
      </c>
      <c r="I50" s="248">
        <v>1</v>
      </c>
      <c r="J50" s="248">
        <v>1</v>
      </c>
      <c r="K50" s="248">
        <v>1</v>
      </c>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9"/>
    </row>
    <row r="51" spans="1:103" s="1" customFormat="1" ht="38.25" customHeight="1" x14ac:dyDescent="0.25">
      <c r="A51" s="2673"/>
      <c r="B51" s="2663"/>
      <c r="C51" s="151" t="s">
        <v>187</v>
      </c>
      <c r="D51" s="152" t="s">
        <v>249</v>
      </c>
      <c r="E51" s="247"/>
      <c r="F51" s="248">
        <v>1</v>
      </c>
      <c r="G51" s="248">
        <v>1</v>
      </c>
      <c r="H51" s="248">
        <v>1</v>
      </c>
      <c r="I51" s="248">
        <v>0.95</v>
      </c>
      <c r="J51" s="248">
        <v>0.95</v>
      </c>
      <c r="K51" s="248">
        <v>0.95</v>
      </c>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9"/>
    </row>
    <row r="52" spans="1:103" s="1" customFormat="1" ht="51" customHeight="1" x14ac:dyDescent="0.25">
      <c r="A52" s="2673"/>
      <c r="B52" s="2663"/>
      <c r="C52" s="151" t="s">
        <v>187</v>
      </c>
      <c r="D52" s="152" t="s">
        <v>250</v>
      </c>
      <c r="E52" s="247"/>
      <c r="F52" s="248">
        <v>1</v>
      </c>
      <c r="G52" s="248">
        <v>1</v>
      </c>
      <c r="H52" s="248">
        <v>1</v>
      </c>
      <c r="I52" s="248">
        <v>0.9</v>
      </c>
      <c r="J52" s="248">
        <v>0.9</v>
      </c>
      <c r="K52" s="248">
        <v>0.9</v>
      </c>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9"/>
    </row>
    <row r="53" spans="1:103" s="1" customFormat="1" ht="63.75" customHeight="1" x14ac:dyDescent="0.25">
      <c r="A53" s="2673"/>
      <c r="B53" s="1182" t="s">
        <v>251</v>
      </c>
      <c r="C53" s="151" t="s">
        <v>195</v>
      </c>
      <c r="D53" s="153" t="s">
        <v>252</v>
      </c>
      <c r="E53" s="247"/>
      <c r="F53" s="248">
        <v>0.84</v>
      </c>
      <c r="G53" s="248">
        <v>1</v>
      </c>
      <c r="H53" s="248">
        <v>1</v>
      </c>
      <c r="I53" s="248">
        <v>0.9</v>
      </c>
      <c r="J53" s="248">
        <v>0.9</v>
      </c>
      <c r="K53" s="248">
        <v>0.9</v>
      </c>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9"/>
    </row>
    <row r="54" spans="1:103" s="1" customFormat="1" ht="117" customHeight="1" x14ac:dyDescent="0.25">
      <c r="A54" s="2691" t="s">
        <v>253</v>
      </c>
      <c r="B54" s="1102" t="s">
        <v>254</v>
      </c>
      <c r="C54" s="154" t="s">
        <v>195</v>
      </c>
      <c r="D54" s="155" t="s">
        <v>255</v>
      </c>
      <c r="E54" s="156">
        <v>1</v>
      </c>
      <c r="F54" s="157"/>
      <c r="G54" s="157"/>
      <c r="H54" s="157">
        <v>1</v>
      </c>
      <c r="I54" s="157"/>
      <c r="J54" s="157"/>
      <c r="K54" s="157">
        <v>0.9</v>
      </c>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8"/>
    </row>
    <row r="55" spans="1:103" s="1" customFormat="1" ht="93.75" customHeight="1" x14ac:dyDescent="0.25">
      <c r="A55" s="2691"/>
      <c r="B55" s="2692" t="s">
        <v>256</v>
      </c>
      <c r="C55" s="154" t="s">
        <v>193</v>
      </c>
      <c r="D55" s="155" t="s">
        <v>257</v>
      </c>
      <c r="E55" s="156">
        <v>1</v>
      </c>
      <c r="F55" s="157"/>
      <c r="G55" s="157"/>
      <c r="H55" s="157">
        <v>1</v>
      </c>
      <c r="I55" s="157"/>
      <c r="J55" s="157"/>
      <c r="K55" s="157">
        <v>0.9</v>
      </c>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8"/>
    </row>
    <row r="56" spans="1:103" s="1" customFormat="1" ht="51" customHeight="1" x14ac:dyDescent="0.25">
      <c r="A56" s="2691"/>
      <c r="B56" s="2692"/>
      <c r="C56" s="154" t="s">
        <v>193</v>
      </c>
      <c r="D56" s="155" t="s">
        <v>258</v>
      </c>
      <c r="E56" s="156">
        <v>1</v>
      </c>
      <c r="F56" s="157"/>
      <c r="G56" s="157"/>
      <c r="H56" s="157">
        <v>1</v>
      </c>
      <c r="I56" s="157"/>
      <c r="J56" s="157"/>
      <c r="K56" s="157">
        <v>0.9</v>
      </c>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8"/>
    </row>
    <row r="57" spans="1:103" s="1" customFormat="1" ht="71.25" customHeight="1" x14ac:dyDescent="0.25">
      <c r="A57" s="2691"/>
      <c r="B57" s="2692"/>
      <c r="C57" s="154" t="s">
        <v>195</v>
      </c>
      <c r="D57" s="155" t="s">
        <v>259</v>
      </c>
      <c r="E57" s="156">
        <v>1</v>
      </c>
      <c r="F57" s="157"/>
      <c r="G57" s="157"/>
      <c r="H57" s="157">
        <v>1</v>
      </c>
      <c r="I57" s="157"/>
      <c r="J57" s="157"/>
      <c r="K57" s="157">
        <v>0.9</v>
      </c>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8"/>
    </row>
    <row r="58" spans="1:103" s="1" customFormat="1" ht="38.25" x14ac:dyDescent="0.25">
      <c r="A58" s="2691"/>
      <c r="B58" s="2692"/>
      <c r="C58" s="154" t="s">
        <v>195</v>
      </c>
      <c r="D58" s="155" t="s">
        <v>260</v>
      </c>
      <c r="E58" s="156">
        <v>1</v>
      </c>
      <c r="F58" s="157"/>
      <c r="G58" s="157"/>
      <c r="H58" s="157">
        <v>1</v>
      </c>
      <c r="I58" s="157"/>
      <c r="J58" s="157"/>
      <c r="K58" s="157">
        <v>0.9</v>
      </c>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8"/>
    </row>
    <row r="59" spans="1:103" s="1" customFormat="1" ht="42" customHeight="1" x14ac:dyDescent="0.25">
      <c r="A59" s="2691"/>
      <c r="B59" s="2692"/>
      <c r="C59" s="154" t="s">
        <v>195</v>
      </c>
      <c r="D59" s="155" t="s">
        <v>261</v>
      </c>
      <c r="E59" s="156">
        <v>1</v>
      </c>
      <c r="F59" s="157"/>
      <c r="G59" s="157"/>
      <c r="H59" s="157">
        <v>1</v>
      </c>
      <c r="I59" s="157"/>
      <c r="J59" s="157"/>
      <c r="K59" s="157">
        <v>0.9</v>
      </c>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8"/>
    </row>
    <row r="60" spans="1:103" s="1" customFormat="1" ht="73.5" customHeight="1" x14ac:dyDescent="0.25">
      <c r="A60" s="2691"/>
      <c r="B60" s="159" t="s">
        <v>262</v>
      </c>
      <c r="C60" s="154" t="s">
        <v>193</v>
      </c>
      <c r="D60" s="155" t="s">
        <v>263</v>
      </c>
      <c r="E60" s="156">
        <v>1</v>
      </c>
      <c r="F60" s="157"/>
      <c r="G60" s="157"/>
      <c r="H60" s="157"/>
      <c r="I60" s="157"/>
      <c r="J60" s="157"/>
      <c r="K60" s="157">
        <v>0.9</v>
      </c>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8"/>
    </row>
    <row r="61" spans="1:103" s="1" customFormat="1" ht="54.75" customHeight="1" x14ac:dyDescent="0.25">
      <c r="A61" s="2691"/>
      <c r="B61" s="159" t="s">
        <v>264</v>
      </c>
      <c r="C61" s="154" t="s">
        <v>195</v>
      </c>
      <c r="D61" s="155" t="s">
        <v>250</v>
      </c>
      <c r="E61" s="156"/>
      <c r="F61" s="157"/>
      <c r="G61" s="157"/>
      <c r="H61" s="157"/>
      <c r="I61" s="157"/>
      <c r="J61" s="157"/>
      <c r="K61" s="157">
        <v>0.9</v>
      </c>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8"/>
    </row>
    <row r="62" spans="1:103" s="1" customFormat="1" ht="56.25" customHeight="1" x14ac:dyDescent="0.25">
      <c r="A62" s="2691"/>
      <c r="B62" s="2692" t="s">
        <v>265</v>
      </c>
      <c r="C62" s="154" t="s">
        <v>195</v>
      </c>
      <c r="D62" s="155" t="s">
        <v>266</v>
      </c>
      <c r="E62" s="156">
        <v>1</v>
      </c>
      <c r="F62" s="157"/>
      <c r="G62" s="157"/>
      <c r="H62" s="157">
        <v>1</v>
      </c>
      <c r="I62" s="157"/>
      <c r="J62" s="157"/>
      <c r="K62" s="157">
        <v>0.9</v>
      </c>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8"/>
    </row>
    <row r="63" spans="1:103" s="1" customFormat="1" ht="58.5" customHeight="1" x14ac:dyDescent="0.25">
      <c r="A63" s="2691"/>
      <c r="B63" s="2692"/>
      <c r="C63" s="154" t="s">
        <v>195</v>
      </c>
      <c r="D63" s="155" t="s">
        <v>267</v>
      </c>
      <c r="E63" s="156">
        <v>1</v>
      </c>
      <c r="F63" s="157"/>
      <c r="G63" s="157"/>
      <c r="H63" s="157">
        <v>1</v>
      </c>
      <c r="I63" s="157"/>
      <c r="J63" s="157"/>
      <c r="K63" s="157">
        <v>0.9</v>
      </c>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8"/>
    </row>
    <row r="64" spans="1:103" s="1" customFormat="1" ht="58.5" customHeight="1" x14ac:dyDescent="0.25">
      <c r="A64" s="2693" t="s">
        <v>268</v>
      </c>
      <c r="B64" s="2695" t="s">
        <v>269</v>
      </c>
      <c r="C64" s="196" t="s">
        <v>187</v>
      </c>
      <c r="D64" s="195"/>
      <c r="E64" s="161"/>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3"/>
    </row>
    <row r="65" spans="1:105" s="1" customFormat="1" ht="58.5" customHeight="1" x14ac:dyDescent="0.25">
      <c r="A65" s="2694"/>
      <c r="B65" s="2696"/>
      <c r="C65" s="196" t="s">
        <v>193</v>
      </c>
      <c r="D65" s="195"/>
      <c r="E65" s="161"/>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3"/>
    </row>
    <row r="66" spans="1:105" s="1" customFormat="1" ht="58.5" customHeight="1" x14ac:dyDescent="0.25">
      <c r="A66" s="2694"/>
      <c r="B66" s="2696"/>
      <c r="C66" s="196" t="s">
        <v>195</v>
      </c>
      <c r="D66" s="195"/>
      <c r="E66" s="161"/>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3"/>
    </row>
    <row r="67" spans="1:105" s="1" customFormat="1" ht="56.25" customHeight="1" x14ac:dyDescent="0.25">
      <c r="A67" s="2694"/>
      <c r="B67" s="2696"/>
      <c r="C67" s="196" t="s">
        <v>187</v>
      </c>
      <c r="D67" s="164"/>
      <c r="E67" s="161"/>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3"/>
    </row>
    <row r="68" spans="1:105" s="1" customFormat="1" ht="56.25" customHeight="1" x14ac:dyDescent="0.25">
      <c r="A68" s="2694"/>
      <c r="B68" s="2696"/>
      <c r="C68" s="196" t="s">
        <v>195</v>
      </c>
      <c r="D68" s="1183"/>
      <c r="E68" s="161"/>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3"/>
    </row>
    <row r="69" spans="1:105" s="1" customFormat="1" ht="56.25" customHeight="1" thickBot="1" x14ac:dyDescent="0.3">
      <c r="A69" s="2694"/>
      <c r="B69" s="2697"/>
      <c r="C69" s="196" t="s">
        <v>187</v>
      </c>
      <c r="D69" s="166"/>
      <c r="E69" s="167"/>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9"/>
    </row>
    <row r="70" spans="1:105" s="170" customFormat="1" ht="18" x14ac:dyDescent="0.25">
      <c r="C70" s="171"/>
      <c r="E70" s="172"/>
      <c r="F70" s="172"/>
      <c r="G70" s="172"/>
      <c r="H70" s="172"/>
      <c r="I70" s="172"/>
      <c r="J70" s="172"/>
      <c r="K70" s="172"/>
      <c r="L70" s="172"/>
      <c r="M70" s="172"/>
      <c r="N70" s="172"/>
      <c r="O70" s="172"/>
      <c r="P70" s="172"/>
      <c r="Q70" s="172"/>
      <c r="R70" s="172"/>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row>
    <row r="71" spans="1:105" s="176" customFormat="1" ht="18" x14ac:dyDescent="0.25">
      <c r="C71" s="1535"/>
      <c r="D71" s="1536" t="s">
        <v>270</v>
      </c>
      <c r="E71" s="1537"/>
      <c r="F71" s="1537"/>
      <c r="G71" s="1538"/>
      <c r="H71" s="1538"/>
      <c r="I71" s="1538"/>
      <c r="J71" s="1538"/>
      <c r="K71" s="1538"/>
      <c r="L71" s="1538"/>
      <c r="M71" s="1538"/>
      <c r="N71" s="1538"/>
      <c r="O71" s="1538"/>
      <c r="P71" s="1538"/>
      <c r="Q71" s="1538"/>
      <c r="R71" s="1538"/>
      <c r="S71" s="1539"/>
      <c r="T71" s="1540"/>
      <c r="U71" s="1540"/>
      <c r="V71" s="1540"/>
      <c r="W71" s="1540"/>
      <c r="X71" s="1540"/>
      <c r="Y71" s="1540"/>
      <c r="Z71" s="1540"/>
      <c r="AA71" s="1540"/>
      <c r="AB71" s="1540"/>
      <c r="AC71" s="1540"/>
      <c r="AD71" s="1540"/>
      <c r="AE71" s="1540"/>
      <c r="AF71" s="1540"/>
      <c r="AG71" s="1540"/>
      <c r="AH71" s="1540"/>
      <c r="AI71" s="1540"/>
      <c r="AJ71" s="1540"/>
      <c r="AK71" s="1540"/>
      <c r="AL71" s="1540"/>
      <c r="AM71" s="1540"/>
      <c r="AN71" s="1540"/>
      <c r="AO71" s="1540"/>
      <c r="AP71" s="1540"/>
      <c r="AQ71" s="1540"/>
      <c r="AR71" s="1540"/>
      <c r="AS71" s="1540"/>
      <c r="AT71" s="1540"/>
      <c r="AU71" s="1540"/>
      <c r="AV71" s="1540"/>
      <c r="AW71" s="1540"/>
      <c r="AX71" s="1540"/>
      <c r="AY71" s="1540"/>
      <c r="AZ71" s="1540"/>
      <c r="BA71" s="1540"/>
      <c r="BB71" s="1540"/>
      <c r="BC71" s="1540"/>
      <c r="BD71" s="1540"/>
      <c r="BE71" s="1540"/>
    </row>
    <row r="72" spans="1:105" s="176" customFormat="1" ht="18" x14ac:dyDescent="0.25">
      <c r="C72" s="1535"/>
      <c r="D72" s="174" t="s">
        <v>271</v>
      </c>
      <c r="E72" s="175">
        <f>IFERROR(INDEX(TablaMaxCalifPos[],MATCH(E16,HALLAZGOS,0),MATCH($B$8,TablaMaxCalifPos[#Headers],0))*IFERROR(SEARCH("*FISCAL*",E16,1)*(1-(E17/E9)),1)*(AVERAGEIF($C$22:$C$69,"*EFICACIA*",E22:E69)),"")</f>
        <v>0.69363636363636361</v>
      </c>
      <c r="F72" s="175">
        <f>IFERROR(INDEX(TablaMaxCalifPos[],MATCH(F16,HALLAZGOS,0),MATCH($B$8,TablaMaxCalifPos[#Headers],0))*IFERROR(SEARCH("*FISCAL*",F16,1)*(1-(F17/F9)),1)*(AVERAGEIF($C$22:$C$69,"*EFICACIA*",F22:F69)),"")</f>
        <v>0.76888888888888896</v>
      </c>
      <c r="G72" s="175">
        <f>IFERROR(INDEX(TablaMaxCalifPos[],MATCH(G16,HALLAZGOS,0),MATCH($B$8,TablaMaxCalifPos[#Headers],0))*IFERROR(SEARCH("*FISCAL*",G16,1)*(1-(G17/G9)),1)*(AVERAGEIF($C$22:$C$69,"*EFICACIA*",G22:G69)),"")</f>
        <v>0.19568819031435852</v>
      </c>
      <c r="H72" s="175">
        <f>IFERROR(INDEX(TablaMaxCalifPos[],MATCH(H16,HALLAZGOS,0),MATCH($B$8,TablaMaxCalifPos[#Headers],0))*IFERROR(SEARCH("*FISCAL*",H16,1)*(1-(H17/H9)),1)*(AVERAGEIF($C$22:$C$69,"*EFICACIA*",H22:H69)),"")</f>
        <v>0.85</v>
      </c>
      <c r="I72" s="175">
        <f>IFERROR(INDEX(TablaMaxCalifPos[],MATCH(I16,HALLAZGOS,0),MATCH($B$8,TablaMaxCalifPos[#Headers],0))*IFERROR(SEARCH("*FISCAL*",I16,1)*(1-(I17/I9)),1)*(AVERAGEIF($C$22:$C$69,"*EFICACIA*",I22:I69)),"")</f>
        <v>1</v>
      </c>
      <c r="J72" s="175">
        <f>IFERROR(INDEX(TablaMaxCalifPos[],MATCH(J16,HALLAZGOS,0),MATCH($B$8,TablaMaxCalifPos[#Headers],0))*IFERROR(SEARCH("*FISCAL*",J16,1)*(1-(J17/J9)),1)*(AVERAGEIF($C$22:$C$69,"*EFICACIA*",J22:J69)),"")</f>
        <v>0.71272727272727288</v>
      </c>
      <c r="K72" s="175">
        <f>IFERROR(INDEX(TablaMaxCalifPos[],MATCH(K16,HALLAZGOS,0),MATCH($B$8,TablaMaxCalifPos[#Headers],0))*IFERROR(SEARCH("*FISCAL*",K16,1)*(1-(K17/K9)),1)*(AVERAGEIF($C$22:$C$69,"*EFICACIA*",K22:K69)),"")</f>
        <v>0.80357142857142871</v>
      </c>
      <c r="L72" s="175" t="str">
        <f>IFERROR(INDEX(TablaMaxCalifPos[],MATCH(L16,HALLAZGOS,0),MATCH($B$8,TablaMaxCalifPos[#Headers],0))*IFERROR(SEARCH("*FISCAL*",L16,1)*(1-(L17/L9)),1)*(AVERAGEIF($C$22:$C$69,"*EFICACIA*",L22:L69)),"")</f>
        <v/>
      </c>
      <c r="M72" s="175" t="str">
        <f>IFERROR(INDEX(TablaMaxCalifPos[],MATCH(M16,HALLAZGOS,0),MATCH($B$8,TablaMaxCalifPos[#Headers],0))*IFERROR(SEARCH("*FISCAL*",M16,1)*(1-(M17/M9)),1)*(AVERAGEIF($C$22:$C$69,"*EFICACIA*",M22:M69)),"")</f>
        <v/>
      </c>
      <c r="N72" s="175" t="str">
        <f>IFERROR(INDEX(TablaMaxCalifPos[],MATCH(N16,HALLAZGOS,0),MATCH($B$8,TablaMaxCalifPos[#Headers],0))*IFERROR(SEARCH("*FISCAL*",N16,1)*(1-(N17/N9)),1)*(AVERAGEIF($C$22:$C$69,"*EFICACIA*",N22:N69)),"")</f>
        <v/>
      </c>
      <c r="O72" s="175" t="str">
        <f>IFERROR(INDEX(TablaMaxCalifPos[],MATCH(O16,HALLAZGOS,0),MATCH($B$8,TablaMaxCalifPos[#Headers],0))*IFERROR(SEARCH("*FISCAL*",O16,1)*(1-(O17/O9)),1)*(AVERAGEIF($C$22:$C$69,"*EFICACIA*",O22:O69)),"")</f>
        <v/>
      </c>
      <c r="P72" s="175" t="str">
        <f>IFERROR(INDEX(TablaMaxCalifPos[],MATCH(P16,HALLAZGOS,0),MATCH($B$8,TablaMaxCalifPos[#Headers],0))*IFERROR(SEARCH("*FISCAL*",P16,1)*(1-(P17/P9)),1)*(AVERAGEIF($C$22:$C$69,"*EFICACIA*",P22:P69)),"")</f>
        <v/>
      </c>
      <c r="Q72" s="175" t="str">
        <f>IFERROR(INDEX(TablaMaxCalifPos[],MATCH(Q16,HALLAZGOS,0),MATCH($B$8,TablaMaxCalifPos[#Headers],0))*IFERROR(SEARCH("*FISCAL*",Q16,1)*(1-(Q17/Q9)),1)*(AVERAGEIF($C$22:$C$69,"*EFICACIA*",Q22:Q69)),"")</f>
        <v/>
      </c>
      <c r="R72" s="175" t="str">
        <f>IFERROR(INDEX(TablaMaxCalifPos[],MATCH(R16,HALLAZGOS,0),MATCH($B$8,TablaMaxCalifPos[#Headers],0))*IFERROR(SEARCH("*FISCAL*",R16,1)*(1-(R17/R9)),1)*(AVERAGEIF($C$22:$C$69,"*EFICACIA*",R22:R69)),"")</f>
        <v/>
      </c>
      <c r="S72" s="175" t="str">
        <f>IFERROR(INDEX(TablaMaxCalifPos[],MATCH(S16,HALLAZGOS,0),MATCH($B$8,TablaMaxCalifPos[#Headers],0))*IFERROR(SEARCH("*FISCAL*",S16,1)*(1-(S17/S9)),1)*(AVERAGEIF($C$22:$C$69,"*EFICACIA*",S22:S69)),"")</f>
        <v/>
      </c>
      <c r="T72" s="175" t="str">
        <f>IFERROR(INDEX(TablaMaxCalifPos[],MATCH(T16,HALLAZGOS,0),MATCH($B$8,TablaMaxCalifPos[#Headers],0))*IFERROR(SEARCH("*FISCAL*",T16,1)*(1-(T17/T9)),1)*(AVERAGEIF($C$22:$C$69,"*EFICACIA*",T22:T69)),"")</f>
        <v/>
      </c>
      <c r="U72" s="175" t="str">
        <f>IFERROR(INDEX(TablaMaxCalifPos[],MATCH(U16,HALLAZGOS,0),MATCH($B$8,TablaMaxCalifPos[#Headers],0))*IFERROR(SEARCH("*FISCAL*",U16,1)*(1-(U17/U9)),1)*(AVERAGEIF($C$22:$C$69,"*EFICACIA*",U22:U69)),"")</f>
        <v/>
      </c>
      <c r="V72" s="175" t="str">
        <f>IFERROR(INDEX(TablaMaxCalifPos[],MATCH(V16,HALLAZGOS,0),MATCH($B$8,TablaMaxCalifPos[#Headers],0))*IFERROR(SEARCH("*FISCAL*",V16,1)*(1-(V17/V9)),1)*(AVERAGEIF($C$22:$C$69,"*EFICACIA*",V22:V69)),"")</f>
        <v/>
      </c>
      <c r="W72" s="175" t="str">
        <f>IFERROR(INDEX(TablaMaxCalifPos[],MATCH(W16,HALLAZGOS,0),MATCH($B$8,TablaMaxCalifPos[#Headers],0))*IFERROR(SEARCH("*FISCAL*",W16,1)*(1-(W17/W9)),1)*(AVERAGEIF($C$22:$C$69,"*EFICACIA*",W22:W69)),"")</f>
        <v/>
      </c>
      <c r="X72" s="175" t="str">
        <f>IFERROR(INDEX(TablaMaxCalifPos[],MATCH(X16,HALLAZGOS,0),MATCH($B$8,TablaMaxCalifPos[#Headers],0))*IFERROR(SEARCH("*FISCAL*",X16,1)*(1-(X17/X9)),1)*(AVERAGEIF($C$22:$C$69,"*EFICACIA*",X22:X69)),"")</f>
        <v/>
      </c>
      <c r="Y72" s="175" t="str">
        <f>IFERROR(INDEX(TablaMaxCalifPos[],MATCH(Y16,HALLAZGOS,0),MATCH($B$8,TablaMaxCalifPos[#Headers],0))*IFERROR(SEARCH("*FISCAL*",Y16,1)*(1-(Y17/Y9)),1)*(AVERAGEIF($C$22:$C$69,"*EFICACIA*",Y22:Y69)),"")</f>
        <v/>
      </c>
      <c r="Z72" s="175" t="str">
        <f>IFERROR(INDEX(TablaMaxCalifPos[],MATCH(Z16,HALLAZGOS,0),MATCH($B$8,TablaMaxCalifPos[#Headers],0))*IFERROR(SEARCH("*FISCAL*",Z16,1)*(1-(Z17/Z9)),1)*(AVERAGEIF($C$22:$C$69,"*EFICACIA*",Z22:Z69)),"")</f>
        <v/>
      </c>
      <c r="AA72" s="175" t="str">
        <f>IFERROR(INDEX(TablaMaxCalifPos[],MATCH(AA16,HALLAZGOS,0),MATCH($B$8,TablaMaxCalifPos[#Headers],0))*IFERROR(SEARCH("*FISCAL*",AA16,1)*(1-(AA17/AA9)),1)*(AVERAGEIF($C$22:$C$69,"*EFICACIA*",AA22:AA69)),"")</f>
        <v/>
      </c>
      <c r="AB72" s="175" t="str">
        <f>IFERROR(INDEX(TablaMaxCalifPos[],MATCH(AB16,HALLAZGOS,0),MATCH($B$8,TablaMaxCalifPos[#Headers],0))*IFERROR(SEARCH("*FISCAL*",AB16,1)*(1-(AB17/AB9)),1)*(AVERAGEIF($C$22:$C$69,"*EFICACIA*",AB22:AB69)),"")</f>
        <v/>
      </c>
      <c r="AC72" s="175" t="str">
        <f>IFERROR(INDEX(TablaMaxCalifPos[],MATCH(AC16,HALLAZGOS,0),MATCH($B$8,TablaMaxCalifPos[#Headers],0))*IFERROR(SEARCH("*FISCAL*",AC16,1)*(1-(AC17/AC9)),1)*(AVERAGEIF($C$22:$C$69,"*EFICACIA*",AC22:AC69)),"")</f>
        <v/>
      </c>
      <c r="AD72" s="175" t="str">
        <f>IFERROR(INDEX(TablaMaxCalifPos[],MATCH(AD16,HALLAZGOS,0),MATCH($B$8,TablaMaxCalifPos[#Headers],0))*IFERROR(SEARCH("*FISCAL*",AD16,1)*(1-(AD17/AD9)),1)*(AVERAGEIF($C$22:$C$69,"*EFICACIA*",AD22:AD69)),"")</f>
        <v/>
      </c>
      <c r="AE72" s="175" t="str">
        <f>IFERROR(INDEX(TablaMaxCalifPos[],MATCH(AE16,HALLAZGOS,0),MATCH($B$8,TablaMaxCalifPos[#Headers],0))*IFERROR(SEARCH("*FISCAL*",AE16,1)*(1-(AE17/AE9)),1)*(AVERAGEIF($C$22:$C$69,"*EFICACIA*",AE22:AE69)),"")</f>
        <v/>
      </c>
      <c r="AF72" s="175" t="str">
        <f>IFERROR(INDEX(TablaMaxCalifPos[],MATCH(AF16,HALLAZGOS,0),MATCH($B$8,TablaMaxCalifPos[#Headers],0))*IFERROR(SEARCH("*FISCAL*",AF16,1)*(1-(AF17/AF9)),1)*(AVERAGEIF($C$22:$C$69,"*EFICACIA*",AF22:AF69)),"")</f>
        <v/>
      </c>
      <c r="AG72" s="175" t="str">
        <f>IFERROR(INDEX(TablaMaxCalifPos[],MATCH(AG16,HALLAZGOS,0),MATCH($B$8,TablaMaxCalifPos[#Headers],0))*IFERROR(SEARCH("*FISCAL*",AG16,1)*(1-(AG17/AG9)),1)*(AVERAGEIF($C$22:$C$69,"*EFICACIA*",AG22:AG69)),"")</f>
        <v/>
      </c>
      <c r="AH72" s="175" t="str">
        <f>IFERROR(INDEX(TablaMaxCalifPos[],MATCH(AH16,HALLAZGOS,0),MATCH($B$8,TablaMaxCalifPos[#Headers],0))*IFERROR(SEARCH("*FISCAL*",AH16,1)*(1-(AH17/AH9)),1)*(AVERAGEIF($C$22:$C$69,"*EFICACIA*",AH22:AH69)),"")</f>
        <v/>
      </c>
      <c r="AI72" s="175" t="str">
        <f>IFERROR(INDEX(TablaMaxCalifPos[],MATCH(AI16,HALLAZGOS,0),MATCH($B$8,TablaMaxCalifPos[#Headers],0))*IFERROR(SEARCH("*FISCAL*",AI16,1)*(1-(AI17/AI9)),1)*(AVERAGEIF($C$22:$C$69,"*EFICACIA*",AI22:AI69)),"")</f>
        <v/>
      </c>
      <c r="AJ72" s="175" t="str">
        <f>IFERROR(INDEX(TablaMaxCalifPos[],MATCH(AJ16,HALLAZGOS,0),MATCH($B$8,TablaMaxCalifPos[#Headers],0))*IFERROR(SEARCH("*FISCAL*",AJ16,1)*(1-(AJ17/AJ9)),1)*(AVERAGEIF($C$22:$C$69,"*EFICACIA*",AJ22:AJ69)),"")</f>
        <v/>
      </c>
      <c r="AK72" s="175" t="str">
        <f>IFERROR(INDEX(TablaMaxCalifPos[],MATCH(AK16,HALLAZGOS,0),MATCH($B$8,TablaMaxCalifPos[#Headers],0))*IFERROR(SEARCH("*FISCAL*",AK16,1)*(1-(AK17/AK9)),1)*(AVERAGEIF($C$22:$C$69,"*EFICACIA*",AK22:AK69)),"")</f>
        <v/>
      </c>
      <c r="AL72" s="175" t="str">
        <f>IFERROR(INDEX(TablaMaxCalifPos[],MATCH(AL16,HALLAZGOS,0),MATCH($B$8,TablaMaxCalifPos[#Headers],0))*IFERROR(SEARCH("*FISCAL*",AL16,1)*(1-(AL17/AL9)),1)*(AVERAGEIF($C$22:$C$69,"*EFICACIA*",AL22:AL69)),"")</f>
        <v/>
      </c>
      <c r="AM72" s="175" t="str">
        <f>IFERROR(INDEX(TablaMaxCalifPos[],MATCH(AM16,HALLAZGOS,0),MATCH($B$8,TablaMaxCalifPos[#Headers],0))*IFERROR(SEARCH("*FISCAL*",AM16,1)*(1-(AM17/AM9)),1)*(AVERAGEIF($C$22:$C$69,"*EFICACIA*",AM22:AM69)),"")</f>
        <v/>
      </c>
      <c r="AN72" s="175" t="str">
        <f>IFERROR(INDEX(TablaMaxCalifPos[],MATCH(AN16,HALLAZGOS,0),MATCH($B$8,TablaMaxCalifPos[#Headers],0))*IFERROR(SEARCH("*FISCAL*",AN16,1)*(1-(AN17/AN9)),1)*(AVERAGEIF($C$22:$C$69,"*EFICACIA*",AN22:AN69)),"")</f>
        <v/>
      </c>
      <c r="AO72" s="175" t="str">
        <f>IFERROR(INDEX(TablaMaxCalifPos[],MATCH(AO16,HALLAZGOS,0),MATCH($B$8,TablaMaxCalifPos[#Headers],0))*IFERROR(SEARCH("*FISCAL*",AO16,1)*(1-(AO17/AO9)),1)*(AVERAGEIF($C$22:$C$69,"*EFICACIA*",AO22:AO69)),"")</f>
        <v/>
      </c>
      <c r="AP72" s="175" t="str">
        <f>IFERROR(INDEX(TablaMaxCalifPos[],MATCH(AP16,HALLAZGOS,0),MATCH($B$8,TablaMaxCalifPos[#Headers],0))*IFERROR(SEARCH("*FISCAL*",AP16,1)*(1-(AP17/AP9)),1)*(AVERAGEIF($C$22:$C$69,"*EFICACIA*",AP22:AP69)),"")</f>
        <v/>
      </c>
      <c r="AQ72" s="175" t="str">
        <f>IFERROR(INDEX(TablaMaxCalifPos[],MATCH(AQ16,HALLAZGOS,0),MATCH($B$8,TablaMaxCalifPos[#Headers],0))*IFERROR(SEARCH("*FISCAL*",AQ16,1)*(1-(AQ17/AQ9)),1)*(AVERAGEIF($C$22:$C$69,"*EFICACIA*",AQ22:AQ69)),"")</f>
        <v/>
      </c>
      <c r="AR72" s="175" t="str">
        <f>IFERROR(INDEX(TablaMaxCalifPos[],MATCH(AR16,HALLAZGOS,0),MATCH($B$8,TablaMaxCalifPos[#Headers],0))*IFERROR(SEARCH("*FISCAL*",AR16,1)*(1-(AR17/AR9)),1)*(AVERAGEIF($C$22:$C$69,"*EFICACIA*",AR22:AR69)),"")</f>
        <v/>
      </c>
      <c r="AS72" s="175" t="str">
        <f>IFERROR(INDEX(TablaMaxCalifPos[],MATCH(AS16,HALLAZGOS,0),MATCH($B$8,TablaMaxCalifPos[#Headers],0))*IFERROR(SEARCH("*FISCAL*",AS16,1)*(1-(AS17/AS9)),1)*(AVERAGEIF($C$22:$C$69,"*EFICACIA*",AS22:AS69)),"")</f>
        <v/>
      </c>
      <c r="AT72" s="175" t="str">
        <f>IFERROR(INDEX(TablaMaxCalifPos[],MATCH(AT16,HALLAZGOS,0),MATCH($B$8,TablaMaxCalifPos[#Headers],0))*IFERROR(SEARCH("*FISCAL*",AT16,1)*(1-(AT17/AT9)),1)*(AVERAGEIF($C$22:$C$69,"*EFICACIA*",AT22:AT69)),"")</f>
        <v/>
      </c>
      <c r="AU72" s="175" t="str">
        <f>IFERROR(INDEX(TablaMaxCalifPos[],MATCH(AU16,HALLAZGOS,0),MATCH($B$8,TablaMaxCalifPos[#Headers],0))*IFERROR(SEARCH("*FISCAL*",AU16,1)*(1-(AU17/AU9)),1)*(AVERAGEIF($C$22:$C$69,"*EFICACIA*",AU22:AU69)),"")</f>
        <v/>
      </c>
      <c r="AV72" s="175" t="str">
        <f>IFERROR(INDEX(TablaMaxCalifPos[],MATCH(AV16,HALLAZGOS,0),MATCH($B$8,TablaMaxCalifPos[#Headers],0))*IFERROR(SEARCH("*FISCAL*",AV16,1)*(1-(AV17/AV9)),1)*(AVERAGEIF($C$22:$C$69,"*EFICACIA*",AV22:AV69)),"")</f>
        <v/>
      </c>
      <c r="AW72" s="175" t="str">
        <f>IFERROR(INDEX(TablaMaxCalifPos[],MATCH(AW16,HALLAZGOS,0),MATCH($B$8,TablaMaxCalifPos[#Headers],0))*IFERROR(SEARCH("*FISCAL*",AW16,1)*(1-(AW17/AW9)),1)*(AVERAGEIF($C$22:$C$69,"*EFICACIA*",AW22:AW69)),"")</f>
        <v/>
      </c>
      <c r="AX72" s="175" t="str">
        <f>IFERROR(INDEX(TablaMaxCalifPos[],MATCH(AX16,HALLAZGOS,0),MATCH($B$8,TablaMaxCalifPos[#Headers],0))*IFERROR(SEARCH("*FISCAL*",AX16,1)*(1-(AX17/AX9)),1)*(AVERAGEIF($C$22:$C$69,"*EFICACIA*",AX22:AX69)),"")</f>
        <v/>
      </c>
      <c r="AY72" s="175" t="str">
        <f>IFERROR(INDEX(TablaMaxCalifPos[],MATCH(AY16,HALLAZGOS,0),MATCH($B$8,TablaMaxCalifPos[#Headers],0))*IFERROR(SEARCH("*FISCAL*",AY16,1)*(1-(AY17/AY9)),1)*(AVERAGEIF($C$22:$C$69,"*EFICACIA*",AY22:AY69)),"")</f>
        <v/>
      </c>
      <c r="AZ72" s="175" t="str">
        <f>IFERROR(INDEX(TablaMaxCalifPos[],MATCH(AZ16,HALLAZGOS,0),MATCH($B$8,TablaMaxCalifPos[#Headers],0))*IFERROR(SEARCH("*FISCAL*",AZ16,1)*(1-(AZ17/AZ9)),1)*(AVERAGEIF($C$22:$C$69,"*EFICACIA*",AZ22:AZ69)),"")</f>
        <v/>
      </c>
      <c r="BA72" s="175" t="str">
        <f>IFERROR(INDEX(TablaMaxCalifPos[],MATCH(BA16,HALLAZGOS,0),MATCH($B$8,TablaMaxCalifPos[#Headers],0))*IFERROR(SEARCH("*FISCAL*",BA16,1)*(1-(BA17/BA9)),1)*(AVERAGEIF($C$22:$C$69,"*EFICACIA*",BA22:BA69)),"")</f>
        <v/>
      </c>
      <c r="BB72" s="175" t="str">
        <f>IFERROR(INDEX(TablaMaxCalifPos[],MATCH(BB16,HALLAZGOS,0),MATCH($B$8,TablaMaxCalifPos[#Headers],0))*IFERROR(SEARCH("*FISCAL*",BB16,1)*(1-(BB17/BB9)),1)*(AVERAGEIF($C$22:$C$69,"*EFICACIA*",BB22:BB69)),"")</f>
        <v/>
      </c>
      <c r="BC72" s="175" t="str">
        <f>IFERROR(INDEX(TablaMaxCalifPos[],MATCH(BC16,HALLAZGOS,0),MATCH($B$8,TablaMaxCalifPos[#Headers],0))*IFERROR(SEARCH("*FISCAL*",BC16,1)*(1-(BC17/BC9)),1)*(AVERAGEIF($C$22:$C$69,"*EFICACIA*",BC22:BC69)),"")</f>
        <v/>
      </c>
      <c r="BD72" s="175" t="str">
        <f>IFERROR(INDEX(TablaMaxCalifPos[],MATCH(BD16,HALLAZGOS,0),MATCH($B$8,TablaMaxCalifPos[#Headers],0))*IFERROR(SEARCH("*FISCAL*",BD16,1)*(1-(BD17/BD9)),1)*(AVERAGEIF($C$22:$C$69,"*EFICACIA*",BD22:BD69)),"")</f>
        <v/>
      </c>
      <c r="BE72" s="175" t="str">
        <f>IFERROR(INDEX(TablaMaxCalifPos[],MATCH(BE16,HALLAZGOS,0),MATCH($B$8,TablaMaxCalifPos[#Headers],0))*IFERROR(SEARCH("*FISCAL*",BE16,1)*(1-(BE17/BE9)),1)*(AVERAGEIF($C$22:$C$69,"*EFICACIA*",BE22:BE69)),"")</f>
        <v/>
      </c>
      <c r="BF72" s="175" t="str">
        <f>IFERROR(INDEX(TablaMaxCalifPos[],MATCH(BF16,HALLAZGOS,0),MATCH($B$8,TablaMaxCalifPos[#Headers],0))*IFERROR(SEARCH("*FISCAL*",BF16,1)*(1-(BF17/BF9)),1)*(AVERAGEIF($C$22:$C$69,"*EFICACIA*",BF22:BF69)),"")</f>
        <v/>
      </c>
      <c r="BG72" s="175" t="str">
        <f>IFERROR(INDEX(TablaMaxCalifPos[],MATCH(BG16,HALLAZGOS,0),MATCH($B$8,TablaMaxCalifPos[#Headers],0))*IFERROR(SEARCH("*FISCAL*",BG16,1)*(1-(BG17/BG9)),1)*(AVERAGEIF($C$22:$C$69,"*EFICACIA*",BG22:BG69)),"")</f>
        <v/>
      </c>
      <c r="BH72" s="175" t="str">
        <f>IFERROR(INDEX(TablaMaxCalifPos[],MATCH(BH16,HALLAZGOS,0),MATCH($B$8,TablaMaxCalifPos[#Headers],0))*IFERROR(SEARCH("*FISCAL*",BH16,1)*(1-(BH17/BH9)),1)*(AVERAGEIF($C$22:$C$69,"*EFICACIA*",BH22:BH69)),"")</f>
        <v/>
      </c>
      <c r="BI72" s="175" t="str">
        <f>IFERROR(INDEX(TablaMaxCalifPos[],MATCH(BI16,HALLAZGOS,0),MATCH($B$8,TablaMaxCalifPos[#Headers],0))*IFERROR(SEARCH("*FISCAL*",BI16,1)*(1-(BI17/BI9)),1)*(AVERAGEIF($C$22:$C$69,"*EFICACIA*",BI22:BI69)),"")</f>
        <v/>
      </c>
      <c r="BJ72" s="175" t="str">
        <f>IFERROR(INDEX(TablaMaxCalifPos[],MATCH(BJ16,HALLAZGOS,0),MATCH($B$8,TablaMaxCalifPos[#Headers],0))*IFERROR(SEARCH("*FISCAL*",BJ16,1)*(1-(BJ17/BJ9)),1)*(AVERAGEIF($C$22:$C$69,"*EFICACIA*",BJ22:BJ69)),"")</f>
        <v/>
      </c>
      <c r="BK72" s="175" t="str">
        <f>IFERROR(INDEX(TablaMaxCalifPos[],MATCH(BK16,HALLAZGOS,0),MATCH($B$8,TablaMaxCalifPos[#Headers],0))*IFERROR(SEARCH("*FISCAL*",BK16,1)*(1-(BK17/BK9)),1)*(AVERAGEIF($C$22:$C$69,"*EFICACIA*",BK22:BK69)),"")</f>
        <v/>
      </c>
      <c r="BL72" s="175" t="str">
        <f>IFERROR(INDEX(TablaMaxCalifPos[],MATCH(BL16,HALLAZGOS,0),MATCH($B$8,TablaMaxCalifPos[#Headers],0))*IFERROR(SEARCH("*FISCAL*",BL16,1)*(1-(BL17/BL9)),1)*(AVERAGEIF($C$22:$C$69,"*EFICACIA*",BL22:BL69)),"")</f>
        <v/>
      </c>
      <c r="BM72" s="175" t="str">
        <f>IFERROR(INDEX(TablaMaxCalifPos[],MATCH(BM16,HALLAZGOS,0),MATCH($B$8,TablaMaxCalifPos[#Headers],0))*IFERROR(SEARCH("*FISCAL*",BM16,1)*(1-(BM17/BM9)),1)*(AVERAGEIF($C$22:$C$69,"*EFICACIA*",BM22:BM69)),"")</f>
        <v/>
      </c>
      <c r="BN72" s="175" t="str">
        <f>IFERROR(INDEX(TablaMaxCalifPos[],MATCH(BN16,HALLAZGOS,0),MATCH($B$8,TablaMaxCalifPos[#Headers],0))*IFERROR(SEARCH("*FISCAL*",BN16,1)*(1-(BN17/BN9)),1)*(AVERAGEIF($C$22:$C$69,"*EFICACIA*",BN22:BN69)),"")</f>
        <v/>
      </c>
      <c r="BO72" s="175" t="str">
        <f>IFERROR(INDEX(TablaMaxCalifPos[],MATCH(BO16,HALLAZGOS,0),MATCH($B$8,TablaMaxCalifPos[#Headers],0))*IFERROR(SEARCH("*FISCAL*",BO16,1)*(1-(BO17/BO9)),1)*(AVERAGEIF($C$22:$C$69,"*EFICACIA*",BO22:BO69)),"")</f>
        <v/>
      </c>
      <c r="BP72" s="175" t="str">
        <f>IFERROR(INDEX(TablaMaxCalifPos[],MATCH(BP16,HALLAZGOS,0),MATCH($B$8,TablaMaxCalifPos[#Headers],0))*IFERROR(SEARCH("*FISCAL*",BP16,1)*(1-(BP17/BP9)),1)*(AVERAGEIF($C$22:$C$69,"*EFICACIA*",BP22:BP69)),"")</f>
        <v/>
      </c>
      <c r="BQ72" s="175" t="str">
        <f>IFERROR(INDEX(TablaMaxCalifPos[],MATCH(BQ16,HALLAZGOS,0),MATCH($B$8,TablaMaxCalifPos[#Headers],0))*IFERROR(SEARCH("*FISCAL*",BQ16,1)*(1-(BQ17/BQ9)),1)*(AVERAGEIF($C$22:$C$69,"*EFICACIA*",BQ22:BQ69)),"")</f>
        <v/>
      </c>
      <c r="BR72" s="175" t="str">
        <f>IFERROR(INDEX(TablaMaxCalifPos[],MATCH(BR16,HALLAZGOS,0),MATCH($B$8,TablaMaxCalifPos[#Headers],0))*IFERROR(SEARCH("*FISCAL*",BR16,1)*(1-(BR17/BR9)),1)*(AVERAGEIF($C$22:$C$69,"*EFICACIA*",BR22:BR69)),"")</f>
        <v/>
      </c>
      <c r="BS72" s="175" t="str">
        <f>IFERROR(INDEX(TablaMaxCalifPos[],MATCH(BS16,HALLAZGOS,0),MATCH($B$8,TablaMaxCalifPos[#Headers],0))*IFERROR(SEARCH("*FISCAL*",BS16,1)*(1-(BS17/BS9)),1)*(AVERAGEIF($C$22:$C$69,"*EFICACIA*",BS22:BS69)),"")</f>
        <v/>
      </c>
      <c r="BT72" s="175" t="str">
        <f>IFERROR(INDEX(TablaMaxCalifPos[],MATCH(BT16,HALLAZGOS,0),MATCH($B$8,TablaMaxCalifPos[#Headers],0))*IFERROR(SEARCH("*FISCAL*",BT16,1)*(1-(BT17/BT9)),1)*(AVERAGEIF($C$22:$C$69,"*EFICACIA*",BT22:BT69)),"")</f>
        <v/>
      </c>
      <c r="BU72" s="175" t="str">
        <f>IFERROR(INDEX(TablaMaxCalifPos[],MATCH(BU16,HALLAZGOS,0),MATCH($B$8,TablaMaxCalifPos[#Headers],0))*IFERROR(SEARCH("*FISCAL*",BU16,1)*(1-(BU17/BU9)),1)*(AVERAGEIF($C$22:$C$69,"*EFICACIA*",BU22:BU69)),"")</f>
        <v/>
      </c>
      <c r="BV72" s="175" t="str">
        <f>IFERROR(INDEX(TablaMaxCalifPos[],MATCH(BV16,HALLAZGOS,0),MATCH($B$8,TablaMaxCalifPos[#Headers],0))*IFERROR(SEARCH("*FISCAL*",BV16,1)*(1-(BV17/BV9)),1)*(AVERAGEIF($C$22:$C$69,"*EFICACIA*",BV22:BV69)),"")</f>
        <v/>
      </c>
      <c r="BW72" s="175" t="str">
        <f>IFERROR(INDEX(TablaMaxCalifPos[],MATCH(BW16,HALLAZGOS,0),MATCH($B$8,TablaMaxCalifPos[#Headers],0))*IFERROR(SEARCH("*FISCAL*",BW16,1)*(1-(BW17/BW9)),1)*(AVERAGEIF($C$22:$C$69,"*EFICACIA*",BW22:BW69)),"")</f>
        <v/>
      </c>
      <c r="BX72" s="175" t="str">
        <f>IFERROR(INDEX(TablaMaxCalifPos[],MATCH(BX16,HALLAZGOS,0),MATCH($B$8,TablaMaxCalifPos[#Headers],0))*IFERROR(SEARCH("*FISCAL*",BX16,1)*(1-(BX17/BX9)),1)*(AVERAGEIF($C$22:$C$69,"*EFICACIA*",BX22:BX69)),"")</f>
        <v/>
      </c>
      <c r="BY72" s="175" t="str">
        <f>IFERROR(INDEX(TablaMaxCalifPos[],MATCH(BY16,HALLAZGOS,0),MATCH($B$8,TablaMaxCalifPos[#Headers],0))*IFERROR(SEARCH("*FISCAL*",BY16,1)*(1-(BY17/BY9)),1)*(AVERAGEIF($C$22:$C$69,"*EFICACIA*",BY22:BY69)),"")</f>
        <v/>
      </c>
      <c r="BZ72" s="175" t="str">
        <f>IFERROR(INDEX(TablaMaxCalifPos[],MATCH(BZ16,HALLAZGOS,0),MATCH($B$8,TablaMaxCalifPos[#Headers],0))*IFERROR(SEARCH("*FISCAL*",BZ16,1)*(1-(BZ17/BZ9)),1)*(AVERAGEIF($C$22:$C$69,"*EFICACIA*",BZ22:BZ69)),"")</f>
        <v/>
      </c>
      <c r="CA72" s="175" t="str">
        <f>IFERROR(INDEX(TablaMaxCalifPos[],MATCH(CA16,HALLAZGOS,0),MATCH($B$8,TablaMaxCalifPos[#Headers],0))*IFERROR(SEARCH("*FISCAL*",CA16,1)*(1-(CA17/CA9)),1)*(AVERAGEIF($C$22:$C$69,"*EFICACIA*",CA22:CA69)),"")</f>
        <v/>
      </c>
      <c r="CB72" s="175" t="str">
        <f>IFERROR(INDEX(TablaMaxCalifPos[],MATCH(CB16,HALLAZGOS,0),MATCH($B$8,TablaMaxCalifPos[#Headers],0))*IFERROR(SEARCH("*FISCAL*",CB16,1)*(1-(CB17/CB9)),1)*(AVERAGEIF($C$22:$C$69,"*EFICACIA*",CB22:CB69)),"")</f>
        <v/>
      </c>
      <c r="CC72" s="175" t="str">
        <f>IFERROR(INDEX(TablaMaxCalifPos[],MATCH(CC16,HALLAZGOS,0),MATCH($B$8,TablaMaxCalifPos[#Headers],0))*IFERROR(SEARCH("*FISCAL*",CC16,1)*(1-(CC17/CC9)),1)*(AVERAGEIF($C$22:$C$69,"*EFICACIA*",CC22:CC69)),"")</f>
        <v/>
      </c>
      <c r="CD72" s="175" t="str">
        <f>IFERROR(INDEX(TablaMaxCalifPos[],MATCH(CD16,HALLAZGOS,0),MATCH($B$8,TablaMaxCalifPos[#Headers],0))*IFERROR(SEARCH("*FISCAL*",CD16,1)*(1-(CD17/CD9)),1)*(AVERAGEIF($C$22:$C$69,"*EFICACIA*",CD22:CD69)),"")</f>
        <v/>
      </c>
      <c r="CE72" s="175" t="str">
        <f>IFERROR(INDEX(TablaMaxCalifPos[],MATCH(CE16,HALLAZGOS,0),MATCH($B$8,TablaMaxCalifPos[#Headers],0))*IFERROR(SEARCH("*FISCAL*",CE16,1)*(1-(CE17/CE9)),1)*(AVERAGEIF($C$22:$C$69,"*EFICACIA*",CE22:CE69)),"")</f>
        <v/>
      </c>
      <c r="CF72" s="175" t="str">
        <f>IFERROR(INDEX(TablaMaxCalifPos[],MATCH(CF16,HALLAZGOS,0),MATCH($B$8,TablaMaxCalifPos[#Headers],0))*IFERROR(SEARCH("*FISCAL*",CF16,1)*(1-(CF17/CF9)),1)*(AVERAGEIF($C$22:$C$69,"*EFICACIA*",CF22:CF69)),"")</f>
        <v/>
      </c>
      <c r="CG72" s="175" t="str">
        <f>IFERROR(INDEX(TablaMaxCalifPos[],MATCH(CG16,HALLAZGOS,0),MATCH($B$8,TablaMaxCalifPos[#Headers],0))*IFERROR(SEARCH("*FISCAL*",CG16,1)*(1-(CG17/CG9)),1)*(AVERAGEIF($C$22:$C$69,"*EFICACIA*",CG22:CG69)),"")</f>
        <v/>
      </c>
      <c r="CH72" s="175" t="str">
        <f>IFERROR(INDEX(TablaMaxCalifPos[],MATCH(CH16,HALLAZGOS,0),MATCH($B$8,TablaMaxCalifPos[#Headers],0))*IFERROR(SEARCH("*FISCAL*",CH16,1)*(1-(CH17/CH9)),1)*(AVERAGEIF($C$22:$C$69,"*EFICACIA*",CH22:CH69)),"")</f>
        <v/>
      </c>
      <c r="CI72" s="175" t="str">
        <f>IFERROR(INDEX(TablaMaxCalifPos[],MATCH(CI16,HALLAZGOS,0),MATCH($B$8,TablaMaxCalifPos[#Headers],0))*IFERROR(SEARCH("*FISCAL*",CI16,1)*(1-(CI17/CI9)),1)*(AVERAGEIF($C$22:$C$69,"*EFICACIA*",CI22:CI69)),"")</f>
        <v/>
      </c>
      <c r="CJ72" s="175" t="str">
        <f>IFERROR(INDEX(TablaMaxCalifPos[],MATCH(CJ16,HALLAZGOS,0),MATCH($B$8,TablaMaxCalifPos[#Headers],0))*IFERROR(SEARCH("*FISCAL*",CJ16,1)*(1-(CJ17/CJ9)),1)*(AVERAGEIF($C$22:$C$69,"*EFICACIA*",CJ22:CJ69)),"")</f>
        <v/>
      </c>
      <c r="CK72" s="175" t="str">
        <f>IFERROR(INDEX(TablaMaxCalifPos[],MATCH(CK16,HALLAZGOS,0),MATCH($B$8,TablaMaxCalifPos[#Headers],0))*IFERROR(SEARCH("*FISCAL*",CK16,1)*(1-(CK17/CK9)),1)*(AVERAGEIF($C$22:$C$69,"*EFICACIA*",CK22:CK69)),"")</f>
        <v/>
      </c>
      <c r="CL72" s="175" t="str">
        <f>IFERROR(INDEX(TablaMaxCalifPos[],MATCH(CL16,HALLAZGOS,0),MATCH($B$8,TablaMaxCalifPos[#Headers],0))*IFERROR(SEARCH("*FISCAL*",CL16,1)*(1-(CL17/CL9)),1)*(AVERAGEIF($C$22:$C$69,"*EFICACIA*",CL22:CL69)),"")</f>
        <v/>
      </c>
      <c r="CM72" s="175" t="str">
        <f>IFERROR(INDEX(TablaMaxCalifPos[],MATCH(CM16,HALLAZGOS,0),MATCH($B$8,TablaMaxCalifPos[#Headers],0))*IFERROR(SEARCH("*FISCAL*",CM16,1)*(1-(CM17/CM9)),1)*(AVERAGEIF($C$22:$C$69,"*EFICACIA*",CM22:CM69)),"")</f>
        <v/>
      </c>
      <c r="CN72" s="175" t="str">
        <f>IFERROR(INDEX(TablaMaxCalifPos[],MATCH(CN16,HALLAZGOS,0),MATCH($B$8,TablaMaxCalifPos[#Headers],0))*IFERROR(SEARCH("*FISCAL*",CN16,1)*(1-(CN17/CN9)),1)*(AVERAGEIF($C$22:$C$69,"*EFICACIA*",CN22:CN69)),"")</f>
        <v/>
      </c>
      <c r="CO72" s="175" t="str">
        <f>IFERROR(INDEX(TablaMaxCalifPos[],MATCH(CO16,HALLAZGOS,0),MATCH($B$8,TablaMaxCalifPos[#Headers],0))*IFERROR(SEARCH("*FISCAL*",CO16,1)*(1-(CO17/CO9)),1)*(AVERAGEIF($C$22:$C$69,"*EFICACIA*",CO22:CO69)),"")</f>
        <v/>
      </c>
      <c r="CP72" s="175" t="str">
        <f>IFERROR(INDEX(TablaMaxCalifPos[],MATCH(CP16,HALLAZGOS,0),MATCH($B$8,TablaMaxCalifPos[#Headers],0))*IFERROR(SEARCH("*FISCAL*",CP16,1)*(1-(CP17/CP9)),1)*(AVERAGEIF($C$22:$C$69,"*EFICACIA*",CP22:CP69)),"")</f>
        <v/>
      </c>
      <c r="CQ72" s="175" t="str">
        <f>IFERROR(INDEX(TablaMaxCalifPos[],MATCH(CQ16,HALLAZGOS,0),MATCH($B$8,TablaMaxCalifPos[#Headers],0))*IFERROR(SEARCH("*FISCAL*",CQ16,1)*(1-(CQ17/CQ9)),1)*(AVERAGEIF($C$22:$C$69,"*EFICACIA*",CQ22:CQ69)),"")</f>
        <v/>
      </c>
      <c r="CR72" s="175" t="str">
        <f>IFERROR(INDEX(TablaMaxCalifPos[],MATCH(CR16,HALLAZGOS,0),MATCH($B$8,TablaMaxCalifPos[#Headers],0))*IFERROR(SEARCH("*FISCAL*",CR16,1)*(1-(CR17/CR9)),1)*(AVERAGEIF($C$22:$C$69,"*EFICACIA*",CR22:CR69)),"")</f>
        <v/>
      </c>
      <c r="CS72" s="175" t="str">
        <f>IFERROR(INDEX(TablaMaxCalifPos[],MATCH(CS16,HALLAZGOS,0),MATCH($B$8,TablaMaxCalifPos[#Headers],0))*IFERROR(SEARCH("*FISCAL*",CS16,1)*(1-(CS17/CS9)),1)*(AVERAGEIF($C$22:$C$69,"*EFICACIA*",CS22:CS69)),"")</f>
        <v/>
      </c>
      <c r="CT72" s="175" t="str">
        <f>IFERROR(INDEX(TablaMaxCalifPos[],MATCH(CT16,HALLAZGOS,0),MATCH($B$8,TablaMaxCalifPos[#Headers],0))*IFERROR(SEARCH("*FISCAL*",CT16,1)*(1-(CT17/CT9)),1)*(AVERAGEIF($C$22:$C$69,"*EFICACIA*",CT22:CT69)),"")</f>
        <v/>
      </c>
      <c r="CU72" s="175" t="str">
        <f>IFERROR(INDEX(TablaMaxCalifPos[],MATCH(CU16,HALLAZGOS,0),MATCH($B$8,TablaMaxCalifPos[#Headers],0))*IFERROR(SEARCH("*FISCAL*",CU16,1)*(1-(CU17/CU9)),1)*(AVERAGEIF($C$22:$C$69,"*EFICACIA*",CU22:CU69)),"")</f>
        <v/>
      </c>
      <c r="CV72" s="175" t="str">
        <f>IFERROR(INDEX(TablaMaxCalifPos[],MATCH(CV16,HALLAZGOS,0),MATCH($B$8,TablaMaxCalifPos[#Headers],0))*IFERROR(SEARCH("*FISCAL*",CV16,1)*(1-(CV17/CV9)),1)*(AVERAGEIF($C$22:$C$69,"*EFICACIA*",CV22:CV69)),"")</f>
        <v/>
      </c>
      <c r="CW72" s="175" t="str">
        <f>IFERROR(INDEX(TablaMaxCalifPos[],MATCH(CW16,HALLAZGOS,0),MATCH($B$8,TablaMaxCalifPos[#Headers],0))*IFERROR(SEARCH("*FISCAL*",CW16,1)*(1-(CW17/CW9)),1)*(AVERAGEIF($C$22:$C$69,"*EFICACIA*",CW22:CW69)),"")</f>
        <v/>
      </c>
      <c r="CX72" s="175" t="str">
        <f>IFERROR(INDEX(TablaMaxCalifPos[],MATCH(CX16,HALLAZGOS,0),MATCH($B$8,TablaMaxCalifPos[#Headers],0))*IFERROR(SEARCH("*FISCAL*",CX16,1)*(1-(CX17/CX9)),1)*(AVERAGEIF($C$22:$C$69,"*EFICACIA*",CX22:CX69)),"")</f>
        <v/>
      </c>
      <c r="CY72" s="175" t="str">
        <f>IFERROR(INDEX(TablaMaxCalifPos[],MATCH(CY16,HALLAZGOS,0),MATCH($B$8,TablaMaxCalifPos[#Headers],0))*IFERROR(SEARCH("*FISCAL*",CY16,1)*(1-(CY17/CY9)),1)*(AVERAGEIF($C$22:$C$69,"*EFICACIA*",CY22:CY69)),"")</f>
        <v/>
      </c>
    </row>
    <row r="73" spans="1:105" s="176" customFormat="1" ht="18" x14ac:dyDescent="0.25">
      <c r="C73" s="1535"/>
      <c r="D73" s="174" t="s">
        <v>272</v>
      </c>
      <c r="E73" s="175">
        <f>IFERROR(INDEX(TablaMaxCalifPos[],MATCH(E16,HALLAZGOS,0),MATCH($B$8,TablaMaxCalifPos[#Headers],0))*IFERROR(SEARCH("*FISCAL*",E16,1)*(1-(E17/E9)),1)*(AVERAGEIF($C$22:$C$69,"*ECONOMÍA*",E22:E69)),"")</f>
        <v>0.7</v>
      </c>
      <c r="F73" s="175">
        <f>IFERROR(INDEX(TablaMaxCalifPos[],MATCH(F16,HALLAZGOS,0),MATCH($B$8,TablaMaxCalifPos[#Headers],0))*IFERROR(SEARCH("*FISCAL*",F16,1)*(1-(F17/F9)),1)*(AVERAGEIF($C$22:$C$69,"*ECONOMÍA*",F22:F69)),"")</f>
        <v>0.73000000000000009</v>
      </c>
      <c r="G73" s="175">
        <f>IFERROR(INDEX(TablaMaxCalifPos[],MATCH(G16,HALLAZGOS,0),MATCH($B$8,TablaMaxCalifPos[#Headers],0))*IFERROR(SEARCH("*FISCAL*",G16,1)*(1-(G17/G9)),1)*(AVERAGEIF($C$22:$C$69,"*ECONOMÍA*",G22:G69)),"")</f>
        <v>0.2055607476635514</v>
      </c>
      <c r="H73" s="175">
        <f>IFERROR(INDEX(TablaMaxCalifPos[],MATCH(H16,HALLAZGOS,0),MATCH($B$8,TablaMaxCalifPos[#Headers],0))*IFERROR(SEARCH("*FISCAL*",H16,1)*(1-(H17/H9)),1)*(AVERAGEIF($C$22:$C$69,"*ECONOMÍA*",H22:H69)),"")</f>
        <v>0.78299999999999992</v>
      </c>
      <c r="I73" s="175">
        <f>IFERROR(INDEX(TablaMaxCalifPos[],MATCH(I16,HALLAZGOS,0),MATCH($B$8,TablaMaxCalifPos[#Headers],0))*IFERROR(SEARCH("*FISCAL*",I16,1)*(1-(I17/I9)),1)*(AVERAGEIF($C$22:$C$69,"*ECONOMÍA*",I22:I69)),"")</f>
        <v>0.98749999999999993</v>
      </c>
      <c r="J73" s="175">
        <f>IFERROR(INDEX(TablaMaxCalifPos[],MATCH(J16,HALLAZGOS,0),MATCH($B$8,TablaMaxCalifPos[#Headers],0))*IFERROR(SEARCH("*FISCAL*",J16,1)*(1-(J17/J9)),1)*(AVERAGEIF($C$22:$C$69,"*ECONOMÍA*",J22:J69)),"")</f>
        <v>0.77666666666666673</v>
      </c>
      <c r="K73" s="175">
        <f>IFERROR(INDEX(TablaMaxCalifPos[],MATCH(K16,HALLAZGOS,0),MATCH($B$8,TablaMaxCalifPos[#Headers],0))*IFERROR(SEARCH("*FISCAL*",K16,1)*(1-(K17/K9)),1)*(AVERAGEIF($C$22:$C$69,"*ECONOMÍA*",K22:K69)),"")</f>
        <v>0.87375000000000003</v>
      </c>
      <c r="L73" s="175" t="str">
        <f>IFERROR(INDEX(TablaMaxCalifPos[],MATCH(L16,HALLAZGOS,0),MATCH($B$8,TablaMaxCalifPos[#Headers],0))*IFERROR(SEARCH("*FISCAL*",L16,1)*(1-(L17/L9)),1)*(AVERAGEIF($C$22:$C$69,"*ECONOMÍA*",L22:L69)),"")</f>
        <v/>
      </c>
      <c r="M73" s="175" t="str">
        <f>IFERROR(INDEX(TablaMaxCalifPos[],MATCH(M16,HALLAZGOS,0),MATCH($B$8,TablaMaxCalifPos[#Headers],0))*IFERROR(SEARCH("*FISCAL*",M16,1)*(1-(M17/M9)),1)*(AVERAGEIF($C$22:$C$69,"*ECONOMÍA*",M22:M69)),"")</f>
        <v/>
      </c>
      <c r="N73" s="175" t="str">
        <f>IFERROR(INDEX(TablaMaxCalifPos[],MATCH(N16,HALLAZGOS,0),MATCH($B$8,TablaMaxCalifPos[#Headers],0))*IFERROR(SEARCH("*FISCAL*",N16,1)*(1-(N17/N9)),1)*(AVERAGEIF($C$22:$C$69,"*ECONOMÍA*",N22:N69)),"")</f>
        <v/>
      </c>
      <c r="O73" s="175" t="str">
        <f>IFERROR(INDEX(TablaMaxCalifPos[],MATCH(O16,HALLAZGOS,0),MATCH($B$8,TablaMaxCalifPos[#Headers],0))*IFERROR(SEARCH("*FISCAL*",O16,1)*(1-(O17/O9)),1)*(AVERAGEIF($C$22:$C$69,"*ECONOMÍA*",O22:O69)),"")</f>
        <v/>
      </c>
      <c r="P73" s="175" t="str">
        <f>IFERROR(INDEX(TablaMaxCalifPos[],MATCH(P16,HALLAZGOS,0),MATCH($B$8,TablaMaxCalifPos[#Headers],0))*IFERROR(SEARCH("*FISCAL*",P16,1)*(1-(P17/P9)),1)*(AVERAGEIF($C$22:$C$69,"*ECONOMÍA*",P22:P69)),"")</f>
        <v/>
      </c>
      <c r="Q73" s="175" t="str">
        <f>IFERROR(INDEX(TablaMaxCalifPos[],MATCH(Q16,HALLAZGOS,0),MATCH($B$8,TablaMaxCalifPos[#Headers],0))*IFERROR(SEARCH("*FISCAL*",Q16,1)*(1-(Q17/Q9)),1)*(AVERAGEIF($C$22:$C$69,"*ECONOMÍA*",Q22:Q69)),"")</f>
        <v/>
      </c>
      <c r="R73" s="175" t="str">
        <f>IFERROR(INDEX(TablaMaxCalifPos[],MATCH(R16,HALLAZGOS,0),MATCH($B$8,TablaMaxCalifPos[#Headers],0))*IFERROR(SEARCH("*FISCAL*",R16,1)*(1-(R17/R9)),1)*(AVERAGEIF($C$22:$C$69,"*ECONOMÍA*",R22:R69)),"")</f>
        <v/>
      </c>
      <c r="S73" s="175" t="str">
        <f>IFERROR(INDEX(TablaMaxCalifPos[],MATCH(S16,HALLAZGOS,0),MATCH($B$8,TablaMaxCalifPos[#Headers],0))*IFERROR(SEARCH("*FISCAL*",S16,1)*(1-(S17/S9)),1)*(AVERAGEIF($C$22:$C$69,"*ECONOMÍA*",S22:S69)),"")</f>
        <v/>
      </c>
      <c r="T73" s="175" t="str">
        <f>IFERROR(INDEX(TablaMaxCalifPos[],MATCH(T16,HALLAZGOS,0),MATCH($B$8,TablaMaxCalifPos[#Headers],0))*IFERROR(SEARCH("*FISCAL*",T16,1)*(1-(T17/T9)),1)*(AVERAGEIF($C$22:$C$69,"*ECONOMÍA*",T22:T69)),"")</f>
        <v/>
      </c>
      <c r="U73" s="175" t="str">
        <f>IFERROR(INDEX(TablaMaxCalifPos[],MATCH(U16,HALLAZGOS,0),MATCH($B$8,TablaMaxCalifPos[#Headers],0))*IFERROR(SEARCH("*FISCAL*",U16,1)*(1-(U17/U9)),1)*(AVERAGEIF($C$22:$C$69,"*ECONOMÍA*",U22:U69)),"")</f>
        <v/>
      </c>
      <c r="V73" s="175" t="str">
        <f>IFERROR(INDEX(TablaMaxCalifPos[],MATCH(V16,HALLAZGOS,0),MATCH($B$8,TablaMaxCalifPos[#Headers],0))*IFERROR(SEARCH("*FISCAL*",V16,1)*(1-(V17/V9)),1)*(AVERAGEIF($C$22:$C$69,"*ECONOMÍA*",V22:V69)),"")</f>
        <v/>
      </c>
      <c r="W73" s="175" t="str">
        <f>IFERROR(INDEX(TablaMaxCalifPos[],MATCH(W16,HALLAZGOS,0),MATCH($B$8,TablaMaxCalifPos[#Headers],0))*IFERROR(SEARCH("*FISCAL*",W16,1)*(1-(W17/W9)),1)*(AVERAGEIF($C$22:$C$69,"*ECONOMÍA*",W22:W69)),"")</f>
        <v/>
      </c>
      <c r="X73" s="175" t="str">
        <f>IFERROR(INDEX(TablaMaxCalifPos[],MATCH(X16,HALLAZGOS,0),MATCH($B$8,TablaMaxCalifPos[#Headers],0))*IFERROR(SEARCH("*FISCAL*",X16,1)*(1-(X17/X9)),1)*(AVERAGEIF($C$22:$C$69,"*ECONOMÍA*",X22:X69)),"")</f>
        <v/>
      </c>
      <c r="Y73" s="175" t="str">
        <f>IFERROR(INDEX(TablaMaxCalifPos[],MATCH(Y16,HALLAZGOS,0),MATCH($B$8,TablaMaxCalifPos[#Headers],0))*IFERROR(SEARCH("*FISCAL*",Y16,1)*(1-(Y17/Y9)),1)*(AVERAGEIF($C$22:$C$69,"*ECONOMÍA*",Y22:Y69)),"")</f>
        <v/>
      </c>
      <c r="Z73" s="175" t="str">
        <f>IFERROR(INDEX(TablaMaxCalifPos[],MATCH(Z16,HALLAZGOS,0),MATCH($B$8,TablaMaxCalifPos[#Headers],0))*IFERROR(SEARCH("*FISCAL*",Z16,1)*(1-(Z17/Z9)),1)*(AVERAGEIF($C$22:$C$69,"*ECONOMÍA*",Z22:Z69)),"")</f>
        <v/>
      </c>
      <c r="AA73" s="175" t="str">
        <f>IFERROR(INDEX(TablaMaxCalifPos[],MATCH(AA16,HALLAZGOS,0),MATCH($B$8,TablaMaxCalifPos[#Headers],0))*IFERROR(SEARCH("*FISCAL*",AA16,1)*(1-(AA17/AA9)),1)*(AVERAGEIF($C$22:$C$69,"*ECONOMÍA*",AA22:AA69)),"")</f>
        <v/>
      </c>
      <c r="AB73" s="175" t="str">
        <f>IFERROR(INDEX(TablaMaxCalifPos[],MATCH(AB16,HALLAZGOS,0),MATCH($B$8,TablaMaxCalifPos[#Headers],0))*IFERROR(SEARCH("*FISCAL*",AB16,1)*(1-(AB17/AB9)),1)*(AVERAGEIF($C$22:$C$69,"*ECONOMÍA*",AB22:AB69)),"")</f>
        <v/>
      </c>
      <c r="AC73" s="175" t="str">
        <f>IFERROR(INDEX(TablaMaxCalifPos[],MATCH(AC16,HALLAZGOS,0),MATCH($B$8,TablaMaxCalifPos[#Headers],0))*IFERROR(SEARCH("*FISCAL*",AC16,1)*(1-(AC17/AC9)),1)*(AVERAGEIF($C$22:$C$69,"*ECONOMÍA*",AC22:AC69)),"")</f>
        <v/>
      </c>
      <c r="AD73" s="175" t="str">
        <f>IFERROR(INDEX(TablaMaxCalifPos[],MATCH(AD16,HALLAZGOS,0),MATCH($B$8,TablaMaxCalifPos[#Headers],0))*IFERROR(SEARCH("*FISCAL*",AD16,1)*(1-(AD17/AD9)),1)*(AVERAGEIF($C$22:$C$69,"*ECONOMÍA*",AD22:AD69)),"")</f>
        <v/>
      </c>
      <c r="AE73" s="175" t="str">
        <f>IFERROR(INDEX(TablaMaxCalifPos[],MATCH(AE16,HALLAZGOS,0),MATCH($B$8,TablaMaxCalifPos[#Headers],0))*IFERROR(SEARCH("*FISCAL*",AE16,1)*(1-(AE17/AE9)),1)*(AVERAGEIF($C$22:$C$69,"*ECONOMÍA*",AE22:AE69)),"")</f>
        <v/>
      </c>
      <c r="AF73" s="175" t="str">
        <f>IFERROR(INDEX(TablaMaxCalifPos[],MATCH(AF16,HALLAZGOS,0),MATCH($B$8,TablaMaxCalifPos[#Headers],0))*IFERROR(SEARCH("*FISCAL*",AF16,1)*(1-(AF17/AF9)),1)*(AVERAGEIF($C$22:$C$69,"*ECONOMÍA*",AF22:AF69)),"")</f>
        <v/>
      </c>
      <c r="AG73" s="175" t="str">
        <f>IFERROR(INDEX(TablaMaxCalifPos[],MATCH(AG16,HALLAZGOS,0),MATCH($B$8,TablaMaxCalifPos[#Headers],0))*IFERROR(SEARCH("*FISCAL*",AG16,1)*(1-(AG17/AG9)),1)*(AVERAGEIF($C$22:$C$69,"*ECONOMÍA*",AG22:AG69)),"")</f>
        <v/>
      </c>
      <c r="AH73" s="175" t="str">
        <f>IFERROR(INDEX(TablaMaxCalifPos[],MATCH(AH16,HALLAZGOS,0),MATCH($B$8,TablaMaxCalifPos[#Headers],0))*IFERROR(SEARCH("*FISCAL*",AH16,1)*(1-(AH17/AH9)),1)*(AVERAGEIF($C$22:$C$69,"*ECONOMÍA*",AH22:AH69)),"")</f>
        <v/>
      </c>
      <c r="AI73" s="175" t="str">
        <f>IFERROR(INDEX(TablaMaxCalifPos[],MATCH(AI16,HALLAZGOS,0),MATCH($B$8,TablaMaxCalifPos[#Headers],0))*IFERROR(SEARCH("*FISCAL*",AI16,1)*(1-(AI17/AI9)),1)*(AVERAGEIF($C$22:$C$69,"*ECONOMÍA*",AI22:AI69)),"")</f>
        <v/>
      </c>
      <c r="AJ73" s="175" t="str">
        <f>IFERROR(INDEX(TablaMaxCalifPos[],MATCH(AJ16,HALLAZGOS,0),MATCH($B$8,TablaMaxCalifPos[#Headers],0))*IFERROR(SEARCH("*FISCAL*",AJ16,1)*(1-(AJ17/AJ9)),1)*(AVERAGEIF($C$22:$C$69,"*ECONOMÍA*",AJ22:AJ69)),"")</f>
        <v/>
      </c>
      <c r="AK73" s="175" t="str">
        <f>IFERROR(INDEX(TablaMaxCalifPos[],MATCH(AK16,HALLAZGOS,0),MATCH($B$8,TablaMaxCalifPos[#Headers],0))*IFERROR(SEARCH("*FISCAL*",AK16,1)*(1-(AK17/AK9)),1)*(AVERAGEIF($C$22:$C$69,"*ECONOMÍA*",AK22:AK69)),"")</f>
        <v/>
      </c>
      <c r="AL73" s="175" t="str">
        <f>IFERROR(INDEX(TablaMaxCalifPos[],MATCH(AL16,HALLAZGOS,0),MATCH($B$8,TablaMaxCalifPos[#Headers],0))*IFERROR(SEARCH("*FISCAL*",AL16,1)*(1-(AL17/AL9)),1)*(AVERAGEIF($C$22:$C$69,"*ECONOMÍA*",AL22:AL69)),"")</f>
        <v/>
      </c>
      <c r="AM73" s="175" t="str">
        <f>IFERROR(INDEX(TablaMaxCalifPos[],MATCH(AM16,HALLAZGOS,0),MATCH($B$8,TablaMaxCalifPos[#Headers],0))*IFERROR(SEARCH("*FISCAL*",AM16,1)*(1-(AM17/AM9)),1)*(AVERAGEIF($C$22:$C$69,"*ECONOMÍA*",AM22:AM69)),"")</f>
        <v/>
      </c>
      <c r="AN73" s="175" t="str">
        <f>IFERROR(INDEX(TablaMaxCalifPos[],MATCH(AN16,HALLAZGOS,0),MATCH($B$8,TablaMaxCalifPos[#Headers],0))*IFERROR(SEARCH("*FISCAL*",AN16,1)*(1-(AN17/AN9)),1)*(AVERAGEIF($C$22:$C$69,"*ECONOMÍA*",AN22:AN69)),"")</f>
        <v/>
      </c>
      <c r="AO73" s="175" t="str">
        <f>IFERROR(INDEX(TablaMaxCalifPos[],MATCH(AO16,HALLAZGOS,0),MATCH($B$8,TablaMaxCalifPos[#Headers],0))*IFERROR(SEARCH("*FISCAL*",AO16,1)*(1-(AO17/AO9)),1)*(AVERAGEIF($C$22:$C$69,"*ECONOMÍA*",AO22:AO69)),"")</f>
        <v/>
      </c>
      <c r="AP73" s="175" t="str">
        <f>IFERROR(INDEX(TablaMaxCalifPos[],MATCH(AP16,HALLAZGOS,0),MATCH($B$8,TablaMaxCalifPos[#Headers],0))*IFERROR(SEARCH("*FISCAL*",AP16,1)*(1-(AP17/AP9)),1)*(AVERAGEIF($C$22:$C$69,"*ECONOMÍA*",AP22:AP69)),"")</f>
        <v/>
      </c>
      <c r="AQ73" s="175" t="str">
        <f>IFERROR(INDEX(TablaMaxCalifPos[],MATCH(AQ16,HALLAZGOS,0),MATCH($B$8,TablaMaxCalifPos[#Headers],0))*IFERROR(SEARCH("*FISCAL*",AQ16,1)*(1-(AQ17/AQ9)),1)*(AVERAGEIF($C$22:$C$69,"*ECONOMÍA*",AQ22:AQ69)),"")</f>
        <v/>
      </c>
      <c r="AR73" s="175" t="str">
        <f>IFERROR(INDEX(TablaMaxCalifPos[],MATCH(AR16,HALLAZGOS,0),MATCH($B$8,TablaMaxCalifPos[#Headers],0))*IFERROR(SEARCH("*FISCAL*",AR16,1)*(1-(AR17/AR9)),1)*(AVERAGEIF($C$22:$C$69,"*ECONOMÍA*",AR22:AR69)),"")</f>
        <v/>
      </c>
      <c r="AS73" s="175" t="str">
        <f>IFERROR(INDEX(TablaMaxCalifPos[],MATCH(AS16,HALLAZGOS,0),MATCH($B$8,TablaMaxCalifPos[#Headers],0))*IFERROR(SEARCH("*FISCAL*",AS16,1)*(1-(AS17/AS9)),1)*(AVERAGEIF($C$22:$C$69,"*ECONOMÍA*",AS22:AS69)),"")</f>
        <v/>
      </c>
      <c r="AT73" s="175" t="str">
        <f>IFERROR(INDEX(TablaMaxCalifPos[],MATCH(AT16,HALLAZGOS,0),MATCH($B$8,TablaMaxCalifPos[#Headers],0))*IFERROR(SEARCH("*FISCAL*",AT16,1)*(1-(AT17/AT9)),1)*(AVERAGEIF($C$22:$C$69,"*ECONOMÍA*",AT22:AT69)),"")</f>
        <v/>
      </c>
      <c r="AU73" s="175" t="str">
        <f>IFERROR(INDEX(TablaMaxCalifPos[],MATCH(AU16,HALLAZGOS,0),MATCH($B$8,TablaMaxCalifPos[#Headers],0))*IFERROR(SEARCH("*FISCAL*",AU16,1)*(1-(AU17/AU9)),1)*(AVERAGEIF($C$22:$C$69,"*ECONOMÍA*",AU22:AU69)),"")</f>
        <v/>
      </c>
      <c r="AV73" s="175" t="str">
        <f>IFERROR(INDEX(TablaMaxCalifPos[],MATCH(AV16,HALLAZGOS,0),MATCH($B$8,TablaMaxCalifPos[#Headers],0))*IFERROR(SEARCH("*FISCAL*",AV16,1)*(1-(AV17/AV9)),1)*(AVERAGEIF($C$22:$C$69,"*ECONOMÍA*",AV22:AV69)),"")</f>
        <v/>
      </c>
      <c r="AW73" s="175" t="str">
        <f>IFERROR(INDEX(TablaMaxCalifPos[],MATCH(AW16,HALLAZGOS,0),MATCH($B$8,TablaMaxCalifPos[#Headers],0))*IFERROR(SEARCH("*FISCAL*",AW16,1)*(1-(AW17/AW9)),1)*(AVERAGEIF($C$22:$C$69,"*ECONOMÍA*",AW22:AW69)),"")</f>
        <v/>
      </c>
      <c r="AX73" s="175" t="str">
        <f>IFERROR(INDEX(TablaMaxCalifPos[],MATCH(AX16,HALLAZGOS,0),MATCH($B$8,TablaMaxCalifPos[#Headers],0))*IFERROR(SEARCH("*FISCAL*",AX16,1)*(1-(AX17/AX9)),1)*(AVERAGEIF($C$22:$C$69,"*ECONOMÍA*",AX22:AX69)),"")</f>
        <v/>
      </c>
      <c r="AY73" s="175" t="str">
        <f>IFERROR(INDEX(TablaMaxCalifPos[],MATCH(AY16,HALLAZGOS,0),MATCH($B$8,TablaMaxCalifPos[#Headers],0))*IFERROR(SEARCH("*FISCAL*",AY16,1)*(1-(AY17/AY9)),1)*(AVERAGEIF($C$22:$C$69,"*ECONOMÍA*",AY22:AY69)),"")</f>
        <v/>
      </c>
      <c r="AZ73" s="175" t="str">
        <f>IFERROR(INDEX(TablaMaxCalifPos[],MATCH(AZ16,HALLAZGOS,0),MATCH($B$8,TablaMaxCalifPos[#Headers],0))*IFERROR(SEARCH("*FISCAL*",AZ16,1)*(1-(AZ17/AZ9)),1)*(AVERAGEIF($C$22:$C$69,"*ECONOMÍA*",AZ22:AZ69)),"")</f>
        <v/>
      </c>
      <c r="BA73" s="175" t="str">
        <f>IFERROR(INDEX(TablaMaxCalifPos[],MATCH(BA16,HALLAZGOS,0),MATCH($B$8,TablaMaxCalifPos[#Headers],0))*IFERROR(SEARCH("*FISCAL*",BA16,1)*(1-(BA17/BA9)),1)*(AVERAGEIF($C$22:$C$69,"*ECONOMÍA*",BA22:BA69)),"")</f>
        <v/>
      </c>
      <c r="BB73" s="175" t="str">
        <f>IFERROR(INDEX(TablaMaxCalifPos[],MATCH(BB16,HALLAZGOS,0),MATCH($B$8,TablaMaxCalifPos[#Headers],0))*IFERROR(SEARCH("*FISCAL*",BB16,1)*(1-(BB17/BB9)),1)*(AVERAGEIF($C$22:$C$69,"*ECONOMÍA*",BB22:BB69)),"")</f>
        <v/>
      </c>
      <c r="BC73" s="175" t="str">
        <f>IFERROR(INDEX(TablaMaxCalifPos[],MATCH(BC16,HALLAZGOS,0),MATCH($B$8,TablaMaxCalifPos[#Headers],0))*IFERROR(SEARCH("*FISCAL*",BC16,1)*(1-(BC17/BC9)),1)*(AVERAGEIF($C$22:$C$69,"*ECONOMÍA*",BC22:BC69)),"")</f>
        <v/>
      </c>
      <c r="BD73" s="175" t="str">
        <f>IFERROR(INDEX(TablaMaxCalifPos[],MATCH(BD16,HALLAZGOS,0),MATCH($B$8,TablaMaxCalifPos[#Headers],0))*IFERROR(SEARCH("*FISCAL*",BD16,1)*(1-(BD17/BD9)),1)*(AVERAGEIF($C$22:$C$69,"*ECONOMÍA*",BD22:BD69)),"")</f>
        <v/>
      </c>
      <c r="BE73" s="175" t="str">
        <f>IFERROR(INDEX(TablaMaxCalifPos[],MATCH(BE16,HALLAZGOS,0),MATCH($B$8,TablaMaxCalifPos[#Headers],0))*IFERROR(SEARCH("*FISCAL*",BE16,1)*(1-(BE17/BE9)),1)*(AVERAGEIF($C$22:$C$69,"*ECONOMÍA*",BE22:BE69)),"")</f>
        <v/>
      </c>
      <c r="BF73" s="175" t="str">
        <f>IFERROR(INDEX(TablaMaxCalifPos[],MATCH(BF16,HALLAZGOS,0),MATCH($B$8,TablaMaxCalifPos[#Headers],0))*IFERROR(SEARCH("*FISCAL*",BF16,1)*(1-(BF17/BF9)),1)*(AVERAGEIF($C$22:$C$69,"*ECONOMÍA*",BF22:BF69)),"")</f>
        <v/>
      </c>
      <c r="BG73" s="175" t="str">
        <f>IFERROR(INDEX(TablaMaxCalifPos[],MATCH(BG16,HALLAZGOS,0),MATCH($B$8,TablaMaxCalifPos[#Headers],0))*IFERROR(SEARCH("*FISCAL*",BG16,1)*(1-(BG17/BG9)),1)*(AVERAGEIF($C$22:$C$69,"*ECONOMÍA*",BG22:BG69)),"")</f>
        <v/>
      </c>
      <c r="BH73" s="175" t="str">
        <f>IFERROR(INDEX(TablaMaxCalifPos[],MATCH(BH16,HALLAZGOS,0),MATCH($B$8,TablaMaxCalifPos[#Headers],0))*IFERROR(SEARCH("*FISCAL*",BH16,1)*(1-(BH17/BH9)),1)*(AVERAGEIF($C$22:$C$69,"*ECONOMÍA*",BH22:BH69)),"")</f>
        <v/>
      </c>
      <c r="BI73" s="175" t="str">
        <f>IFERROR(INDEX(TablaMaxCalifPos[],MATCH(BI16,HALLAZGOS,0),MATCH($B$8,TablaMaxCalifPos[#Headers],0))*IFERROR(SEARCH("*FISCAL*",BI16,1)*(1-(BI17/BI9)),1)*(AVERAGEIF($C$22:$C$69,"*ECONOMÍA*",BI22:BI69)),"")</f>
        <v/>
      </c>
      <c r="BJ73" s="175" t="str">
        <f>IFERROR(INDEX(TablaMaxCalifPos[],MATCH(BJ16,HALLAZGOS,0),MATCH($B$8,TablaMaxCalifPos[#Headers],0))*IFERROR(SEARCH("*FISCAL*",BJ16,1)*(1-(BJ17/BJ9)),1)*(AVERAGEIF($C$22:$C$69,"*ECONOMÍA*",BJ22:BJ69)),"")</f>
        <v/>
      </c>
      <c r="BK73" s="175" t="str">
        <f>IFERROR(INDEX(TablaMaxCalifPos[],MATCH(BK16,HALLAZGOS,0),MATCH($B$8,TablaMaxCalifPos[#Headers],0))*IFERROR(SEARCH("*FISCAL*",BK16,1)*(1-(BK17/BK9)),1)*(AVERAGEIF($C$22:$C$69,"*ECONOMÍA*",BK22:BK69)),"")</f>
        <v/>
      </c>
      <c r="BL73" s="175" t="str">
        <f>IFERROR(INDEX(TablaMaxCalifPos[],MATCH(BL16,HALLAZGOS,0),MATCH($B$8,TablaMaxCalifPos[#Headers],0))*IFERROR(SEARCH("*FISCAL*",BL16,1)*(1-(BL17/BL9)),1)*(AVERAGEIF($C$22:$C$69,"*ECONOMÍA*",BL22:BL69)),"")</f>
        <v/>
      </c>
      <c r="BM73" s="175" t="str">
        <f>IFERROR(INDEX(TablaMaxCalifPos[],MATCH(BM16,HALLAZGOS,0),MATCH($B$8,TablaMaxCalifPos[#Headers],0))*IFERROR(SEARCH("*FISCAL*",BM16,1)*(1-(BM17/BM9)),1)*(AVERAGEIF($C$22:$C$69,"*ECONOMÍA*",BM22:BM69)),"")</f>
        <v/>
      </c>
      <c r="BN73" s="175" t="str">
        <f>IFERROR(INDEX(TablaMaxCalifPos[],MATCH(BN16,HALLAZGOS,0),MATCH($B$8,TablaMaxCalifPos[#Headers],0))*IFERROR(SEARCH("*FISCAL*",BN16,1)*(1-(BN17/BN9)),1)*(AVERAGEIF($C$22:$C$69,"*ECONOMÍA*",BN22:BN69)),"")</f>
        <v/>
      </c>
      <c r="BO73" s="175" t="str">
        <f>IFERROR(INDEX(TablaMaxCalifPos[],MATCH(BO16,HALLAZGOS,0),MATCH($B$8,TablaMaxCalifPos[#Headers],0))*IFERROR(SEARCH("*FISCAL*",BO16,1)*(1-(BO17/BO9)),1)*(AVERAGEIF($C$22:$C$69,"*ECONOMÍA*",BO22:BO69)),"")</f>
        <v/>
      </c>
      <c r="BP73" s="175" t="str">
        <f>IFERROR(INDEX(TablaMaxCalifPos[],MATCH(BP16,HALLAZGOS,0),MATCH($B$8,TablaMaxCalifPos[#Headers],0))*IFERROR(SEARCH("*FISCAL*",BP16,1)*(1-(BP17/BP9)),1)*(AVERAGEIF($C$22:$C$69,"*ECONOMÍA*",BP22:BP69)),"")</f>
        <v/>
      </c>
      <c r="BQ73" s="175" t="str">
        <f>IFERROR(INDEX(TablaMaxCalifPos[],MATCH(BQ16,HALLAZGOS,0),MATCH($B$8,TablaMaxCalifPos[#Headers],0))*IFERROR(SEARCH("*FISCAL*",BQ16,1)*(1-(BQ17/BQ9)),1)*(AVERAGEIF($C$22:$C$69,"*ECONOMÍA*",BQ22:BQ69)),"")</f>
        <v/>
      </c>
      <c r="BR73" s="175" t="str">
        <f>IFERROR(INDEX(TablaMaxCalifPos[],MATCH(BR16,HALLAZGOS,0),MATCH($B$8,TablaMaxCalifPos[#Headers],0))*IFERROR(SEARCH("*FISCAL*",BR16,1)*(1-(BR17/BR9)),1)*(AVERAGEIF($C$22:$C$69,"*ECONOMÍA*",BR22:BR69)),"")</f>
        <v/>
      </c>
      <c r="BS73" s="175" t="str">
        <f>IFERROR(INDEX(TablaMaxCalifPos[],MATCH(BS16,HALLAZGOS,0),MATCH($B$8,TablaMaxCalifPos[#Headers],0))*IFERROR(SEARCH("*FISCAL*",BS16,1)*(1-(BS17/BS9)),1)*(AVERAGEIF($C$22:$C$69,"*ECONOMÍA*",BS22:BS69)),"")</f>
        <v/>
      </c>
      <c r="BT73" s="175" t="str">
        <f>IFERROR(INDEX(TablaMaxCalifPos[],MATCH(BT16,HALLAZGOS,0),MATCH($B$8,TablaMaxCalifPos[#Headers],0))*IFERROR(SEARCH("*FISCAL*",BT16,1)*(1-(BT17/BT9)),1)*(AVERAGEIF($C$22:$C$69,"*ECONOMÍA*",BT22:BT69)),"")</f>
        <v/>
      </c>
      <c r="BU73" s="175" t="str">
        <f>IFERROR(INDEX(TablaMaxCalifPos[],MATCH(BU16,HALLAZGOS,0),MATCH($B$8,TablaMaxCalifPos[#Headers],0))*IFERROR(SEARCH("*FISCAL*",BU16,1)*(1-(BU17/BU9)),1)*(AVERAGEIF($C$22:$C$69,"*ECONOMÍA*",BU22:BU69)),"")</f>
        <v/>
      </c>
      <c r="BV73" s="175" t="str">
        <f>IFERROR(INDEX(TablaMaxCalifPos[],MATCH(BV16,HALLAZGOS,0),MATCH($B$8,TablaMaxCalifPos[#Headers],0))*IFERROR(SEARCH("*FISCAL*",BV16,1)*(1-(BV17/BV9)),1)*(AVERAGEIF($C$22:$C$69,"*ECONOMÍA*",BV22:BV69)),"")</f>
        <v/>
      </c>
      <c r="BW73" s="175" t="str">
        <f>IFERROR(INDEX(TablaMaxCalifPos[],MATCH(BW16,HALLAZGOS,0),MATCH($B$8,TablaMaxCalifPos[#Headers],0))*IFERROR(SEARCH("*FISCAL*",BW16,1)*(1-(BW17/BW9)),1)*(AVERAGEIF($C$22:$C$69,"*ECONOMÍA*",BW22:BW69)),"")</f>
        <v/>
      </c>
      <c r="BX73" s="175" t="str">
        <f>IFERROR(INDEX(TablaMaxCalifPos[],MATCH(BX16,HALLAZGOS,0),MATCH($B$8,TablaMaxCalifPos[#Headers],0))*IFERROR(SEARCH("*FISCAL*",BX16,1)*(1-(BX17/BX9)),1)*(AVERAGEIF($C$22:$C$69,"*ECONOMÍA*",BX22:BX69)),"")</f>
        <v/>
      </c>
      <c r="BY73" s="175" t="str">
        <f>IFERROR(INDEX(TablaMaxCalifPos[],MATCH(BY16,HALLAZGOS,0),MATCH($B$8,TablaMaxCalifPos[#Headers],0))*IFERROR(SEARCH("*FISCAL*",BY16,1)*(1-(BY17/BY9)),1)*(AVERAGEIF($C$22:$C$69,"*ECONOMÍA*",BY22:BY69)),"")</f>
        <v/>
      </c>
      <c r="BZ73" s="175" t="str">
        <f>IFERROR(INDEX(TablaMaxCalifPos[],MATCH(BZ16,HALLAZGOS,0),MATCH($B$8,TablaMaxCalifPos[#Headers],0))*IFERROR(SEARCH("*FISCAL*",BZ16,1)*(1-(BZ17/BZ9)),1)*(AVERAGEIF($C$22:$C$69,"*ECONOMÍA*",BZ22:BZ69)),"")</f>
        <v/>
      </c>
      <c r="CA73" s="175" t="str">
        <f>IFERROR(INDEX(TablaMaxCalifPos[],MATCH(CA16,HALLAZGOS,0),MATCH($B$8,TablaMaxCalifPos[#Headers],0))*IFERROR(SEARCH("*FISCAL*",CA16,1)*(1-(CA17/CA9)),1)*(AVERAGEIF($C$22:$C$69,"*ECONOMÍA*",CA22:CA69)),"")</f>
        <v/>
      </c>
      <c r="CB73" s="175" t="str">
        <f>IFERROR(INDEX(TablaMaxCalifPos[],MATCH(CB16,HALLAZGOS,0),MATCH($B$8,TablaMaxCalifPos[#Headers],0))*IFERROR(SEARCH("*FISCAL*",CB16,1)*(1-(CB17/CB9)),1)*(AVERAGEIF($C$22:$C$69,"*ECONOMÍA*",CB22:CB69)),"")</f>
        <v/>
      </c>
      <c r="CC73" s="175" t="str">
        <f>IFERROR(INDEX(TablaMaxCalifPos[],MATCH(CC16,HALLAZGOS,0),MATCH($B$8,TablaMaxCalifPos[#Headers],0))*IFERROR(SEARCH("*FISCAL*",CC16,1)*(1-(CC17/CC9)),1)*(AVERAGEIF($C$22:$C$69,"*ECONOMÍA*",CC22:CC69)),"")</f>
        <v/>
      </c>
      <c r="CD73" s="175" t="str">
        <f>IFERROR(INDEX(TablaMaxCalifPos[],MATCH(CD16,HALLAZGOS,0),MATCH($B$8,TablaMaxCalifPos[#Headers],0))*IFERROR(SEARCH("*FISCAL*",CD16,1)*(1-(CD17/CD9)),1)*(AVERAGEIF($C$22:$C$69,"*ECONOMÍA*",CD22:CD69)),"")</f>
        <v/>
      </c>
      <c r="CE73" s="175" t="str">
        <f>IFERROR(INDEX(TablaMaxCalifPos[],MATCH(CE16,HALLAZGOS,0),MATCH($B$8,TablaMaxCalifPos[#Headers],0))*IFERROR(SEARCH("*FISCAL*",CE16,1)*(1-(CE17/CE9)),1)*(AVERAGEIF($C$22:$C$69,"*ECONOMÍA*",CE22:CE69)),"")</f>
        <v/>
      </c>
      <c r="CF73" s="175" t="str">
        <f>IFERROR(INDEX(TablaMaxCalifPos[],MATCH(CF16,HALLAZGOS,0),MATCH($B$8,TablaMaxCalifPos[#Headers],0))*IFERROR(SEARCH("*FISCAL*",CF16,1)*(1-(CF17/CF9)),1)*(AVERAGEIF($C$22:$C$69,"*ECONOMÍA*",CF22:CF69)),"")</f>
        <v/>
      </c>
      <c r="CG73" s="175" t="str">
        <f>IFERROR(INDEX(TablaMaxCalifPos[],MATCH(CG16,HALLAZGOS,0),MATCH($B$8,TablaMaxCalifPos[#Headers],0))*IFERROR(SEARCH("*FISCAL*",CG16,1)*(1-(CG17/CG9)),1)*(AVERAGEIF($C$22:$C$69,"*ECONOMÍA*",CG22:CG69)),"")</f>
        <v/>
      </c>
      <c r="CH73" s="175" t="str">
        <f>IFERROR(INDEX(TablaMaxCalifPos[],MATCH(CH16,HALLAZGOS,0),MATCH($B$8,TablaMaxCalifPos[#Headers],0))*IFERROR(SEARCH("*FISCAL*",CH16,1)*(1-(CH17/CH9)),1)*(AVERAGEIF($C$22:$C$69,"*ECONOMÍA*",CH22:CH69)),"")</f>
        <v/>
      </c>
      <c r="CI73" s="175" t="str">
        <f>IFERROR(INDEX(TablaMaxCalifPos[],MATCH(CI16,HALLAZGOS,0),MATCH($B$8,TablaMaxCalifPos[#Headers],0))*IFERROR(SEARCH("*FISCAL*",CI16,1)*(1-(CI17/CI9)),1)*(AVERAGEIF($C$22:$C$69,"*ECONOMÍA*",CI22:CI69)),"")</f>
        <v/>
      </c>
      <c r="CJ73" s="175" t="str">
        <f>IFERROR(INDEX(TablaMaxCalifPos[],MATCH(CJ16,HALLAZGOS,0),MATCH($B$8,TablaMaxCalifPos[#Headers],0))*IFERROR(SEARCH("*FISCAL*",CJ16,1)*(1-(CJ17/CJ9)),1)*(AVERAGEIF($C$22:$C$69,"*ECONOMÍA*",CJ22:CJ69)),"")</f>
        <v/>
      </c>
      <c r="CK73" s="175" t="str">
        <f>IFERROR(INDEX(TablaMaxCalifPos[],MATCH(CK16,HALLAZGOS,0),MATCH($B$8,TablaMaxCalifPos[#Headers],0))*IFERROR(SEARCH("*FISCAL*",CK16,1)*(1-(CK17/CK9)),1)*(AVERAGEIF($C$22:$C$69,"*ECONOMÍA*",CK22:CK69)),"")</f>
        <v/>
      </c>
      <c r="CL73" s="175" t="str">
        <f>IFERROR(INDEX(TablaMaxCalifPos[],MATCH(CL16,HALLAZGOS,0),MATCH($B$8,TablaMaxCalifPos[#Headers],0))*IFERROR(SEARCH("*FISCAL*",CL16,1)*(1-(CL17/CL9)),1)*(AVERAGEIF($C$22:$C$69,"*ECONOMÍA*",CL22:CL69)),"")</f>
        <v/>
      </c>
      <c r="CM73" s="175" t="str">
        <f>IFERROR(INDEX(TablaMaxCalifPos[],MATCH(CM16,HALLAZGOS,0),MATCH($B$8,TablaMaxCalifPos[#Headers],0))*IFERROR(SEARCH("*FISCAL*",CM16,1)*(1-(CM17/CM9)),1)*(AVERAGEIF($C$22:$C$69,"*ECONOMÍA*",CM22:CM69)),"")</f>
        <v/>
      </c>
      <c r="CN73" s="175" t="str">
        <f>IFERROR(INDEX(TablaMaxCalifPos[],MATCH(CN16,HALLAZGOS,0),MATCH($B$8,TablaMaxCalifPos[#Headers],0))*IFERROR(SEARCH("*FISCAL*",CN16,1)*(1-(CN17/CN9)),1)*(AVERAGEIF($C$22:$C$69,"*ECONOMÍA*",CN22:CN69)),"")</f>
        <v/>
      </c>
      <c r="CO73" s="175" t="str">
        <f>IFERROR(INDEX(TablaMaxCalifPos[],MATCH(CO16,HALLAZGOS,0),MATCH($B$8,TablaMaxCalifPos[#Headers],0))*IFERROR(SEARCH("*FISCAL*",CO16,1)*(1-(CO17/CO9)),1)*(AVERAGEIF($C$22:$C$69,"*ECONOMÍA*",CO22:CO69)),"")</f>
        <v/>
      </c>
      <c r="CP73" s="175" t="str">
        <f>IFERROR(INDEX(TablaMaxCalifPos[],MATCH(CP16,HALLAZGOS,0),MATCH($B$8,TablaMaxCalifPos[#Headers],0))*IFERROR(SEARCH("*FISCAL*",CP16,1)*(1-(CP17/CP9)),1)*(AVERAGEIF($C$22:$C$69,"*ECONOMÍA*",CP22:CP69)),"")</f>
        <v/>
      </c>
      <c r="CQ73" s="175" t="str">
        <f>IFERROR(INDEX(TablaMaxCalifPos[],MATCH(CQ16,HALLAZGOS,0),MATCH($B$8,TablaMaxCalifPos[#Headers],0))*IFERROR(SEARCH("*FISCAL*",CQ16,1)*(1-(CQ17/CQ9)),1)*(AVERAGEIF($C$22:$C$69,"*ECONOMÍA*",CQ22:CQ69)),"")</f>
        <v/>
      </c>
      <c r="CR73" s="175" t="str">
        <f>IFERROR(INDEX(TablaMaxCalifPos[],MATCH(CR16,HALLAZGOS,0),MATCH($B$8,TablaMaxCalifPos[#Headers],0))*IFERROR(SEARCH("*FISCAL*",CR16,1)*(1-(CR17/CR9)),1)*(AVERAGEIF($C$22:$C$69,"*ECONOMÍA*",CR22:CR69)),"")</f>
        <v/>
      </c>
      <c r="CS73" s="175" t="str">
        <f>IFERROR(INDEX(TablaMaxCalifPos[],MATCH(CS16,HALLAZGOS,0),MATCH($B$8,TablaMaxCalifPos[#Headers],0))*IFERROR(SEARCH("*FISCAL*",CS16,1)*(1-(CS17/CS9)),1)*(AVERAGEIF($C$22:$C$69,"*ECONOMÍA*",CS22:CS69)),"")</f>
        <v/>
      </c>
      <c r="CT73" s="175" t="str">
        <f>IFERROR(INDEX(TablaMaxCalifPos[],MATCH(CT16,HALLAZGOS,0),MATCH($B$8,TablaMaxCalifPos[#Headers],0))*IFERROR(SEARCH("*FISCAL*",CT16,1)*(1-(CT17/CT9)),1)*(AVERAGEIF($C$22:$C$69,"*ECONOMÍA*",CT22:CT69)),"")</f>
        <v/>
      </c>
      <c r="CU73" s="175" t="str">
        <f>IFERROR(INDEX(TablaMaxCalifPos[],MATCH(CU16,HALLAZGOS,0),MATCH($B$8,TablaMaxCalifPos[#Headers],0))*IFERROR(SEARCH("*FISCAL*",CU16,1)*(1-(CU17/CU9)),1)*(AVERAGEIF($C$22:$C$69,"*ECONOMÍA*",CU22:CU69)),"")</f>
        <v/>
      </c>
      <c r="CV73" s="175" t="str">
        <f>IFERROR(INDEX(TablaMaxCalifPos[],MATCH(CV16,HALLAZGOS,0),MATCH($B$8,TablaMaxCalifPos[#Headers],0))*IFERROR(SEARCH("*FISCAL*",CV16,1)*(1-(CV17/CV9)),1)*(AVERAGEIF($C$22:$C$69,"*ECONOMÍA*",CV22:CV69)),"")</f>
        <v/>
      </c>
      <c r="CW73" s="175" t="str">
        <f>IFERROR(INDEX(TablaMaxCalifPos[],MATCH(CW16,HALLAZGOS,0),MATCH($B$8,TablaMaxCalifPos[#Headers],0))*IFERROR(SEARCH("*FISCAL*",CW16,1)*(1-(CW17/CW9)),1)*(AVERAGEIF($C$22:$C$69,"*ECONOMÍA*",CW22:CW69)),"")</f>
        <v/>
      </c>
      <c r="CX73" s="175" t="str">
        <f>IFERROR(INDEX(TablaMaxCalifPos[],MATCH(CX16,HALLAZGOS,0),MATCH($B$8,TablaMaxCalifPos[#Headers],0))*IFERROR(SEARCH("*FISCAL*",CX16,1)*(1-(CX17/CX9)),1)*(AVERAGEIF($C$22:$C$69,"*ECONOMÍA*",CX22:CX69)),"")</f>
        <v/>
      </c>
      <c r="CY73" s="175" t="str">
        <f>IFERROR(INDEX(TablaMaxCalifPos[],MATCH(CY16,HALLAZGOS,0),MATCH($B$8,TablaMaxCalifPos[#Headers],0))*IFERROR(SEARCH("*FISCAL*",CY16,1)*(1-(CY17/CY9)),1)*(AVERAGEIF($C$22:$C$69,"*ECONOMÍA*",CY22:CY69)),"")</f>
        <v/>
      </c>
    </row>
    <row r="74" spans="1:105" s="176" customFormat="1" ht="18" x14ac:dyDescent="0.25">
      <c r="C74" s="1535"/>
      <c r="D74" s="174" t="s">
        <v>273</v>
      </c>
      <c r="E74" s="1142">
        <f>IFERROR(INDEX(TablaMaxCalifPos[],MATCH(E16,HALLAZGOS,0),MATCH($B$8,TablaMaxCalifPos[#Headers],0))*IFERROR(SEARCH("*FISCAL*",E16,1)*(1-(E17/E9)),1)*(AVERAGEIF($C$22:$C$69,"*EFICIENCIA*",E22:E69)),"")</f>
        <v>0.6825</v>
      </c>
      <c r="F74" s="1142">
        <f>IFERROR(INDEX(TablaMaxCalifPos[],MATCH(F16,HALLAZGOS,0),MATCH($B$8,TablaMaxCalifPos[#Headers],0))*IFERROR(SEARCH("*FISCAL*",F16,1)*(1-(F17/F9)),1)*(AVERAGEIF($C$22:$C$69,"*EFICIENCIA*",F22:F69)),"")</f>
        <v>0.69600000000000006</v>
      </c>
      <c r="G74" s="1142">
        <f>IFERROR(INDEX(TablaMaxCalifPos[],MATCH(G16,HALLAZGOS,0),MATCH($B$8,TablaMaxCalifPos[#Headers],0))*IFERROR(SEARCH("*FISCAL*",G16,1)*(1-(G17/G9)),1)*(AVERAGEIF($C$22:$C$69,"*EFICIENCIA*",G22:G69)),"")</f>
        <v>0.19780373831775699</v>
      </c>
      <c r="H74" s="1142">
        <f>IFERROR(INDEX(TablaMaxCalifPos[],MATCH(H16,HALLAZGOS,0),MATCH($B$8,TablaMaxCalifPos[#Headers],0))*IFERROR(SEARCH("*FISCAL*",H16,1)*(1-(H17/H9)),1)*(AVERAGEIF($C$22:$C$69,"*EFICIENCIA*",H22:H69)),"")</f>
        <v>0.87749999999999995</v>
      </c>
      <c r="I74" s="1142">
        <f>IFERROR(INDEX(TablaMaxCalifPos[],MATCH(I16,HALLAZGOS,0),MATCH($B$8,TablaMaxCalifPos[#Headers],0))*IFERROR(SEARCH("*FISCAL*",I16,1)*(1-(I17/I9)),1)*(AVERAGEIF($C$22:$C$69,"*EFICIENCIA*",I22:I69)),"")</f>
        <v>0.95</v>
      </c>
      <c r="J74" s="1142">
        <f>IFERROR(INDEX(TablaMaxCalifPos[],MATCH(J16,HALLAZGOS,0),MATCH($B$8,TablaMaxCalifPos[#Headers],0))*IFERROR(SEARCH("*FISCAL*",J16,1)*(1-(J17/J9)),1)*(AVERAGEIF($C$22:$C$69,"*EFICIENCIA*",J22:J69)),"")</f>
        <v>0.76</v>
      </c>
      <c r="K74" s="1142">
        <f>IFERROR(INDEX(TablaMaxCalifPos[],MATCH(K16,HALLAZGOS,0),MATCH($B$8,TablaMaxCalifPos[#Headers],0))*IFERROR(SEARCH("*FISCAL*",K16,1)*(1-(K17/K9)),1)*(AVERAGEIF($C$22:$C$69,"*EFICIENCIA*",K22:K69)),"")</f>
        <v>0.82000000000000006</v>
      </c>
      <c r="L74" s="1142" t="str">
        <f>IFERROR(INDEX(TablaMaxCalifPos[],MATCH(L16,HALLAZGOS,0),MATCH($B$8,TablaMaxCalifPos[#Headers],0))*IFERROR(SEARCH("*FISCAL*",L16,1)*(1-(L17/L9)),1)*(AVERAGEIF($C$22:$C$69,"*EFICIENCIA*",L22:L69)),"")</f>
        <v/>
      </c>
      <c r="M74" s="1142" t="str">
        <f>IFERROR(INDEX(TablaMaxCalifPos[],MATCH(M16,HALLAZGOS,0),MATCH($B$8,TablaMaxCalifPos[#Headers],0))*IFERROR(SEARCH("*FISCAL*",M16,1)*(1-(M17/M9)),1)*(AVERAGEIF($C$22:$C$69,"*EFICIENCIA*",M22:M69)),"")</f>
        <v/>
      </c>
      <c r="N74" s="1142" t="str">
        <f>IFERROR(INDEX(TablaMaxCalifPos[],MATCH(N16,HALLAZGOS,0),MATCH($B$8,TablaMaxCalifPos[#Headers],0))*IFERROR(SEARCH("*FISCAL*",N16,1)*(1-(N17/N9)),1)*(AVERAGEIF($C$22:$C$69,"*EFICIENCIA*",N22:N69)),"")</f>
        <v/>
      </c>
      <c r="O74" s="1142" t="str">
        <f>IFERROR(INDEX(TablaMaxCalifPos[],MATCH(O16,HALLAZGOS,0),MATCH($B$8,TablaMaxCalifPos[#Headers],0))*IFERROR(SEARCH("*FISCAL*",O16,1)*(1-(O17/O9)),1)*(AVERAGEIF($C$22:$C$69,"*EFICIENCIA*",O22:O69)),"")</f>
        <v/>
      </c>
      <c r="P74" s="1142" t="str">
        <f>IFERROR(INDEX(TablaMaxCalifPos[],MATCH(P16,HALLAZGOS,0),MATCH($B$8,TablaMaxCalifPos[#Headers],0))*IFERROR(SEARCH("*FISCAL*",P16,1)*(1-(P17/P9)),1)*(AVERAGEIF($C$22:$C$69,"*EFICIENCIA*",P22:P69)),"")</f>
        <v/>
      </c>
      <c r="Q74" s="1142" t="str">
        <f>IFERROR(INDEX(TablaMaxCalifPos[],MATCH(Q16,HALLAZGOS,0),MATCH($B$8,TablaMaxCalifPos[#Headers],0))*IFERROR(SEARCH("*FISCAL*",Q16,1)*(1-(Q17/Q9)),1)*(AVERAGEIF($C$22:$C$69,"*EFICIENCIA*",Q22:Q69)),"")</f>
        <v/>
      </c>
      <c r="R74" s="1142" t="str">
        <f>IFERROR(INDEX(TablaMaxCalifPos[],MATCH(R16,HALLAZGOS,0),MATCH($B$8,TablaMaxCalifPos[#Headers],0))*IFERROR(SEARCH("*FISCAL*",R16,1)*(1-(R17/R9)),1)*(AVERAGEIF($C$22:$C$69,"*EFICIENCIA*",R22:R69)),"")</f>
        <v/>
      </c>
      <c r="S74" s="1142" t="str">
        <f>IFERROR(INDEX(TablaMaxCalifPos[],MATCH(S16,HALLAZGOS,0),MATCH($B$8,TablaMaxCalifPos[#Headers],0))*IFERROR(SEARCH("*FISCAL*",S16,1)*(1-(S17/S9)),1)*(AVERAGEIF($C$22:$C$69,"*EFICIENCIA*",S22:S69)),"")</f>
        <v/>
      </c>
      <c r="T74" s="1142" t="str">
        <f>IFERROR(INDEX(TablaMaxCalifPos[],MATCH(T16,HALLAZGOS,0),MATCH($B$8,TablaMaxCalifPos[#Headers],0))*IFERROR(SEARCH("*FISCAL*",T16,1)*(1-(T17/T9)),1)*(AVERAGEIF($C$22:$C$69,"*EFICIENCIA*",T22:T69)),"")</f>
        <v/>
      </c>
      <c r="U74" s="1142" t="str">
        <f>IFERROR(INDEX(TablaMaxCalifPos[],MATCH(U16,HALLAZGOS,0),MATCH($B$8,TablaMaxCalifPos[#Headers],0))*IFERROR(SEARCH("*FISCAL*",U16,1)*(1-(U17/U9)),1)*(AVERAGEIF($C$22:$C$69,"*EFICIENCIA*",U22:U69)),"")</f>
        <v/>
      </c>
      <c r="V74" s="1142" t="str">
        <f>IFERROR(INDEX(TablaMaxCalifPos[],MATCH(V16,HALLAZGOS,0),MATCH($B$8,TablaMaxCalifPos[#Headers],0))*IFERROR(SEARCH("*FISCAL*",V16,1)*(1-(V17/V9)),1)*(AVERAGEIF($C$22:$C$69,"*EFICIENCIA*",V22:V69)),"")</f>
        <v/>
      </c>
      <c r="W74" s="1142" t="str">
        <f>IFERROR(INDEX(TablaMaxCalifPos[],MATCH(W16,HALLAZGOS,0),MATCH($B$8,TablaMaxCalifPos[#Headers],0))*IFERROR(SEARCH("*FISCAL*",W16,1)*(1-(W17/W9)),1)*(AVERAGEIF($C$22:$C$69,"*EFICIENCIA*",W22:W69)),"")</f>
        <v/>
      </c>
      <c r="X74" s="1142" t="str">
        <f>IFERROR(INDEX(TablaMaxCalifPos[],MATCH(X16,HALLAZGOS,0),MATCH($B$8,TablaMaxCalifPos[#Headers],0))*IFERROR(SEARCH("*FISCAL*",X16,1)*(1-(X17/X9)),1)*(AVERAGEIF($C$22:$C$69,"*EFICIENCIA*",X22:X69)),"")</f>
        <v/>
      </c>
      <c r="Y74" s="1142" t="str">
        <f>IFERROR(INDEX(TablaMaxCalifPos[],MATCH(Y16,HALLAZGOS,0),MATCH($B$8,TablaMaxCalifPos[#Headers],0))*IFERROR(SEARCH("*FISCAL*",Y16,1)*(1-(Y17/Y9)),1)*(AVERAGEIF($C$22:$C$69,"*EFICIENCIA*",Y22:Y69)),"")</f>
        <v/>
      </c>
      <c r="Z74" s="1142" t="str">
        <f>IFERROR(INDEX(TablaMaxCalifPos[],MATCH(Z16,HALLAZGOS,0),MATCH($B$8,TablaMaxCalifPos[#Headers],0))*IFERROR(SEARCH("*FISCAL*",Z16,1)*(1-(Z17/Z9)),1)*(AVERAGEIF($C$22:$C$69,"*EFICIENCIA*",Z22:Z69)),"")</f>
        <v/>
      </c>
      <c r="AA74" s="1142" t="str">
        <f>IFERROR(INDEX(TablaMaxCalifPos[],MATCH(AA16,HALLAZGOS,0),MATCH($B$8,TablaMaxCalifPos[#Headers],0))*IFERROR(SEARCH("*FISCAL*",AA16,1)*(1-(AA17/AA9)),1)*(AVERAGEIF($C$22:$C$69,"*EFICIENCIA*",AA22:AA69)),"")</f>
        <v/>
      </c>
      <c r="AB74" s="1142" t="str">
        <f>IFERROR(INDEX(TablaMaxCalifPos[],MATCH(AB16,HALLAZGOS,0),MATCH($B$8,TablaMaxCalifPos[#Headers],0))*IFERROR(SEARCH("*FISCAL*",AB16,1)*(1-(AB17/AB9)),1)*(AVERAGEIF($C$22:$C$69,"*EFICIENCIA*",AB22:AB69)),"")</f>
        <v/>
      </c>
      <c r="AC74" s="1142" t="str">
        <f>IFERROR(INDEX(TablaMaxCalifPos[],MATCH(AC16,HALLAZGOS,0),MATCH($B$8,TablaMaxCalifPos[#Headers],0))*IFERROR(SEARCH("*FISCAL*",AC16,1)*(1-(AC17/AC9)),1)*(AVERAGEIF($C$22:$C$69,"*EFICIENCIA*",AC22:AC69)),"")</f>
        <v/>
      </c>
      <c r="AD74" s="1142" t="str">
        <f>IFERROR(INDEX(TablaMaxCalifPos[],MATCH(AD16,HALLAZGOS,0),MATCH($B$8,TablaMaxCalifPos[#Headers],0))*IFERROR(SEARCH("*FISCAL*",AD16,1)*(1-(AD17/AD9)),1)*(AVERAGEIF($C$22:$C$69,"*EFICIENCIA*",AD22:AD69)),"")</f>
        <v/>
      </c>
      <c r="AE74" s="1142" t="str">
        <f>IFERROR(INDEX(TablaMaxCalifPos[],MATCH(AE16,HALLAZGOS,0),MATCH($B$8,TablaMaxCalifPos[#Headers],0))*IFERROR(SEARCH("*FISCAL*",AE16,1)*(1-(AE17/AE9)),1)*(AVERAGEIF($C$22:$C$69,"*EFICIENCIA*",AE22:AE69)),"")</f>
        <v/>
      </c>
      <c r="AF74" s="1142" t="str">
        <f>IFERROR(INDEX(TablaMaxCalifPos[],MATCH(AF16,HALLAZGOS,0),MATCH($B$8,TablaMaxCalifPos[#Headers],0))*IFERROR(SEARCH("*FISCAL*",AF16,1)*(1-(AF17/AF9)),1)*(AVERAGEIF($C$22:$C$69,"*EFICIENCIA*",AF22:AF69)),"")</f>
        <v/>
      </c>
      <c r="AG74" s="1142" t="str">
        <f>IFERROR(INDEX(TablaMaxCalifPos[],MATCH(AG16,HALLAZGOS,0),MATCH($B$8,TablaMaxCalifPos[#Headers],0))*IFERROR(SEARCH("*FISCAL*",AG16,1)*(1-(AG17/AG9)),1)*(AVERAGEIF($C$22:$C$69,"*EFICIENCIA*",AG22:AG69)),"")</f>
        <v/>
      </c>
      <c r="AH74" s="1142" t="str">
        <f>IFERROR(INDEX(TablaMaxCalifPos[],MATCH(AH16,HALLAZGOS,0),MATCH($B$8,TablaMaxCalifPos[#Headers],0))*IFERROR(SEARCH("*FISCAL*",AH16,1)*(1-(AH17/AH9)),1)*(AVERAGEIF($C$22:$C$69,"*EFICIENCIA*",AH22:AH69)),"")</f>
        <v/>
      </c>
      <c r="AI74" s="1142" t="str">
        <f>IFERROR(INDEX(TablaMaxCalifPos[],MATCH(AI16,HALLAZGOS,0),MATCH($B$8,TablaMaxCalifPos[#Headers],0))*IFERROR(SEARCH("*FISCAL*",AI16,1)*(1-(AI17/AI9)),1)*(AVERAGEIF($C$22:$C$69,"*EFICIENCIA*",AI22:AI69)),"")</f>
        <v/>
      </c>
      <c r="AJ74" s="1142" t="str">
        <f>IFERROR(INDEX(TablaMaxCalifPos[],MATCH(AJ16,HALLAZGOS,0),MATCH($B$8,TablaMaxCalifPos[#Headers],0))*IFERROR(SEARCH("*FISCAL*",AJ16,1)*(1-(AJ17/AJ9)),1)*(AVERAGEIF($C$22:$C$69,"*EFICIENCIA*",AJ22:AJ69)),"")</f>
        <v/>
      </c>
      <c r="AK74" s="1142" t="str">
        <f>IFERROR(INDEX(TablaMaxCalifPos[],MATCH(AK16,HALLAZGOS,0),MATCH($B$8,TablaMaxCalifPos[#Headers],0))*IFERROR(SEARCH("*FISCAL*",AK16,1)*(1-(AK17/AK9)),1)*(AVERAGEIF($C$22:$C$69,"*EFICIENCIA*",AK22:AK69)),"")</f>
        <v/>
      </c>
      <c r="AL74" s="1142" t="str">
        <f>IFERROR(INDEX(TablaMaxCalifPos[],MATCH(AL16,HALLAZGOS,0),MATCH($B$8,TablaMaxCalifPos[#Headers],0))*IFERROR(SEARCH("*FISCAL*",AL16,1)*(1-(AL17/AL9)),1)*(AVERAGEIF($C$22:$C$69,"*EFICIENCIA*",AL22:AL69)),"")</f>
        <v/>
      </c>
      <c r="AM74" s="1142" t="str">
        <f>IFERROR(INDEX(TablaMaxCalifPos[],MATCH(AM16,HALLAZGOS,0),MATCH($B$8,TablaMaxCalifPos[#Headers],0))*IFERROR(SEARCH("*FISCAL*",AM16,1)*(1-(AM17/AM9)),1)*(AVERAGEIF($C$22:$C$69,"*EFICIENCIA*",AM22:AM69)),"")</f>
        <v/>
      </c>
      <c r="AN74" s="1142" t="str">
        <f>IFERROR(INDEX(TablaMaxCalifPos[],MATCH(AN16,HALLAZGOS,0),MATCH($B$8,TablaMaxCalifPos[#Headers],0))*IFERROR(SEARCH("*FISCAL*",AN16,1)*(1-(AN17/AN9)),1)*(AVERAGEIF($C$22:$C$69,"*EFICIENCIA*",AN22:AN69)),"")</f>
        <v/>
      </c>
      <c r="AO74" s="1142" t="str">
        <f>IFERROR(INDEX(TablaMaxCalifPos[],MATCH(AO16,HALLAZGOS,0),MATCH($B$8,TablaMaxCalifPos[#Headers],0))*IFERROR(SEARCH("*FISCAL*",AO16,1)*(1-(AO17/AO9)),1)*(AVERAGEIF($C$22:$C$69,"*EFICIENCIA*",AO22:AO69)),"")</f>
        <v/>
      </c>
      <c r="AP74" s="1142" t="str">
        <f>IFERROR(INDEX(TablaMaxCalifPos[],MATCH(AP16,HALLAZGOS,0),MATCH($B$8,TablaMaxCalifPos[#Headers],0))*IFERROR(SEARCH("*FISCAL*",AP16,1)*(1-(AP17/AP9)),1)*(AVERAGEIF($C$22:$C$69,"*EFICIENCIA*",AP22:AP69)),"")</f>
        <v/>
      </c>
      <c r="AQ74" s="1142" t="str">
        <f>IFERROR(INDEX(TablaMaxCalifPos[],MATCH(AQ16,HALLAZGOS,0),MATCH($B$8,TablaMaxCalifPos[#Headers],0))*IFERROR(SEARCH("*FISCAL*",AQ16,1)*(1-(AQ17/AQ9)),1)*(AVERAGEIF($C$22:$C$69,"*EFICIENCIA*",AQ22:AQ69)),"")</f>
        <v/>
      </c>
      <c r="AR74" s="1142" t="str">
        <f>IFERROR(INDEX(TablaMaxCalifPos[],MATCH(AR16,HALLAZGOS,0),MATCH($B$8,TablaMaxCalifPos[#Headers],0))*IFERROR(SEARCH("*FISCAL*",AR16,1)*(1-(AR17/AR9)),1)*(AVERAGEIF($C$22:$C$69,"*EFICIENCIA*",AR22:AR69)),"")</f>
        <v/>
      </c>
      <c r="AS74" s="1142" t="str">
        <f>IFERROR(INDEX(TablaMaxCalifPos[],MATCH(AS16,HALLAZGOS,0),MATCH($B$8,TablaMaxCalifPos[#Headers],0))*IFERROR(SEARCH("*FISCAL*",AS16,1)*(1-(AS17/AS9)),1)*(AVERAGEIF($C$22:$C$69,"*EFICIENCIA*",AS22:AS69)),"")</f>
        <v/>
      </c>
      <c r="AT74" s="1142" t="str">
        <f>IFERROR(INDEX(TablaMaxCalifPos[],MATCH(AT16,HALLAZGOS,0),MATCH($B$8,TablaMaxCalifPos[#Headers],0))*IFERROR(SEARCH("*FISCAL*",AT16,1)*(1-(AT17/AT9)),1)*(AVERAGEIF($C$22:$C$69,"*EFICIENCIA*",AT22:AT69)),"")</f>
        <v/>
      </c>
      <c r="AU74" s="1142" t="str">
        <f>IFERROR(INDEX(TablaMaxCalifPos[],MATCH(AU16,HALLAZGOS,0),MATCH($B$8,TablaMaxCalifPos[#Headers],0))*IFERROR(SEARCH("*FISCAL*",AU16,1)*(1-(AU17/AU9)),1)*(AVERAGEIF($C$22:$C$69,"*EFICIENCIA*",AU22:AU69)),"")</f>
        <v/>
      </c>
      <c r="AV74" s="1142" t="str">
        <f>IFERROR(INDEX(TablaMaxCalifPos[],MATCH(AV16,HALLAZGOS,0),MATCH($B$8,TablaMaxCalifPos[#Headers],0))*IFERROR(SEARCH("*FISCAL*",AV16,1)*(1-(AV17/AV9)),1)*(AVERAGEIF($C$22:$C$69,"*EFICIENCIA*",AV22:AV69)),"")</f>
        <v/>
      </c>
      <c r="AW74" s="1142" t="str">
        <f>IFERROR(INDEX(TablaMaxCalifPos[],MATCH(AW16,HALLAZGOS,0),MATCH($B$8,TablaMaxCalifPos[#Headers],0))*IFERROR(SEARCH("*FISCAL*",AW16,1)*(1-(AW17/AW9)),1)*(AVERAGEIF($C$22:$C$69,"*EFICIENCIA*",AW22:AW69)),"")</f>
        <v/>
      </c>
      <c r="AX74" s="1142" t="str">
        <f>IFERROR(INDEX(TablaMaxCalifPos[],MATCH(AX16,HALLAZGOS,0),MATCH($B$8,TablaMaxCalifPos[#Headers],0))*IFERROR(SEARCH("*FISCAL*",AX16,1)*(1-(AX17/AX9)),1)*(AVERAGEIF($C$22:$C$69,"*EFICIENCIA*",AX22:AX69)),"")</f>
        <v/>
      </c>
      <c r="AY74" s="1142" t="str">
        <f>IFERROR(INDEX(TablaMaxCalifPos[],MATCH(AY16,HALLAZGOS,0),MATCH($B$8,TablaMaxCalifPos[#Headers],0))*IFERROR(SEARCH("*FISCAL*",AY16,1)*(1-(AY17/AY9)),1)*(AVERAGEIF($C$22:$C$69,"*EFICIENCIA*",AY22:AY69)),"")</f>
        <v/>
      </c>
      <c r="AZ74" s="1142" t="str">
        <f>IFERROR(INDEX(TablaMaxCalifPos[],MATCH(AZ16,HALLAZGOS,0),MATCH($B$8,TablaMaxCalifPos[#Headers],0))*IFERROR(SEARCH("*FISCAL*",AZ16,1)*(1-(AZ17/AZ9)),1)*(AVERAGEIF($C$22:$C$69,"*EFICIENCIA*",AZ22:AZ69)),"")</f>
        <v/>
      </c>
      <c r="BA74" s="1142" t="str">
        <f>IFERROR(INDEX(TablaMaxCalifPos[],MATCH(BA16,HALLAZGOS,0),MATCH($B$8,TablaMaxCalifPos[#Headers],0))*IFERROR(SEARCH("*FISCAL*",BA16,1)*(1-(BA17/BA9)),1)*(AVERAGEIF($C$22:$C$69,"*EFICIENCIA*",BA22:BA69)),"")</f>
        <v/>
      </c>
      <c r="BB74" s="1142" t="str">
        <f>IFERROR(INDEX(TablaMaxCalifPos[],MATCH(BB16,HALLAZGOS,0),MATCH($B$8,TablaMaxCalifPos[#Headers],0))*IFERROR(SEARCH("*FISCAL*",BB16,1)*(1-(BB17/BB9)),1)*(AVERAGEIF($C$22:$C$69,"*EFICIENCIA*",BB22:BB69)),"")</f>
        <v/>
      </c>
      <c r="BC74" s="1142" t="str">
        <f>IFERROR(INDEX(TablaMaxCalifPos[],MATCH(BC16,HALLAZGOS,0),MATCH($B$8,TablaMaxCalifPos[#Headers],0))*IFERROR(SEARCH("*FISCAL*",BC16,1)*(1-(BC17/BC9)),1)*(AVERAGEIF($C$22:$C$69,"*EFICIENCIA*",BC22:BC69)),"")</f>
        <v/>
      </c>
      <c r="BD74" s="1142" t="str">
        <f>IFERROR(INDEX(TablaMaxCalifPos[],MATCH(BD16,HALLAZGOS,0),MATCH($B$8,TablaMaxCalifPos[#Headers],0))*IFERROR(SEARCH("*FISCAL*",BD16,1)*(1-(BD17/BD9)),1)*(AVERAGEIF($C$22:$C$69,"*EFICIENCIA*",BD22:BD69)),"")</f>
        <v/>
      </c>
      <c r="BE74" s="1142" t="str">
        <f>IFERROR(INDEX(TablaMaxCalifPos[],MATCH(BE16,HALLAZGOS,0),MATCH($B$8,TablaMaxCalifPos[#Headers],0))*IFERROR(SEARCH("*FISCAL*",BE16,1)*(1-(BE17/BE9)),1)*(AVERAGEIF($C$22:$C$69,"*EFICIENCIA*",BE22:BE69)),"")</f>
        <v/>
      </c>
      <c r="BF74" s="1142" t="str">
        <f>IFERROR(INDEX(TablaMaxCalifPos[],MATCH(BF16,HALLAZGOS,0),MATCH($B$8,TablaMaxCalifPos[#Headers],0))*IFERROR(SEARCH("*FISCAL*",BF16,1)*(1-(BF17/BF9)),1)*(AVERAGEIF($C$22:$C$69,"*EFICIENCIA*",BF22:BF69)),"")</f>
        <v/>
      </c>
      <c r="BG74" s="1142" t="str">
        <f>IFERROR(INDEX(TablaMaxCalifPos[],MATCH(BG16,HALLAZGOS,0),MATCH($B$8,TablaMaxCalifPos[#Headers],0))*IFERROR(SEARCH("*FISCAL*",BG16,1)*(1-(BG17/BG9)),1)*(AVERAGEIF($C$22:$C$69,"*EFICIENCIA*",BG22:BG69)),"")</f>
        <v/>
      </c>
      <c r="BH74" s="1142" t="str">
        <f>IFERROR(INDEX(TablaMaxCalifPos[],MATCH(BH16,HALLAZGOS,0),MATCH($B$8,TablaMaxCalifPos[#Headers],0))*IFERROR(SEARCH("*FISCAL*",BH16,1)*(1-(BH17/BH9)),1)*(AVERAGEIF($C$22:$C$69,"*EFICIENCIA*",BH22:BH69)),"")</f>
        <v/>
      </c>
      <c r="BI74" s="1142" t="str">
        <f>IFERROR(INDEX(TablaMaxCalifPos[],MATCH(BI16,HALLAZGOS,0),MATCH($B$8,TablaMaxCalifPos[#Headers],0))*IFERROR(SEARCH("*FISCAL*",BI16,1)*(1-(BI17/BI9)),1)*(AVERAGEIF($C$22:$C$69,"*EFICIENCIA*",BI22:BI69)),"")</f>
        <v/>
      </c>
      <c r="BJ74" s="1142" t="str">
        <f>IFERROR(INDEX(TablaMaxCalifPos[],MATCH(BJ16,HALLAZGOS,0),MATCH($B$8,TablaMaxCalifPos[#Headers],0))*IFERROR(SEARCH("*FISCAL*",BJ16,1)*(1-(BJ17/BJ9)),1)*(AVERAGEIF($C$22:$C$69,"*EFICIENCIA*",BJ22:BJ69)),"")</f>
        <v/>
      </c>
      <c r="BK74" s="1142" t="str">
        <f>IFERROR(INDEX(TablaMaxCalifPos[],MATCH(BK16,HALLAZGOS,0),MATCH($B$8,TablaMaxCalifPos[#Headers],0))*IFERROR(SEARCH("*FISCAL*",BK16,1)*(1-(BK17/BK9)),1)*(AVERAGEIF($C$22:$C$69,"*EFICIENCIA*",BK22:BK69)),"")</f>
        <v/>
      </c>
      <c r="BL74" s="1142" t="str">
        <f>IFERROR(INDEX(TablaMaxCalifPos[],MATCH(BL16,HALLAZGOS,0),MATCH($B$8,TablaMaxCalifPos[#Headers],0))*IFERROR(SEARCH("*FISCAL*",BL16,1)*(1-(BL17/BL9)),1)*(AVERAGEIF($C$22:$C$69,"*EFICIENCIA*",BL22:BL69)),"")</f>
        <v/>
      </c>
      <c r="BM74" s="1142" t="str">
        <f>IFERROR(INDEX(TablaMaxCalifPos[],MATCH(BM16,HALLAZGOS,0),MATCH($B$8,TablaMaxCalifPos[#Headers],0))*IFERROR(SEARCH("*FISCAL*",BM16,1)*(1-(BM17/BM9)),1)*(AVERAGEIF($C$22:$C$69,"*EFICIENCIA*",BM22:BM69)),"")</f>
        <v/>
      </c>
      <c r="BN74" s="1142" t="str">
        <f>IFERROR(INDEX(TablaMaxCalifPos[],MATCH(BN16,HALLAZGOS,0),MATCH($B$8,TablaMaxCalifPos[#Headers],0))*IFERROR(SEARCH("*FISCAL*",BN16,1)*(1-(BN17/BN9)),1)*(AVERAGEIF($C$22:$C$69,"*EFICIENCIA*",BN22:BN69)),"")</f>
        <v/>
      </c>
      <c r="BO74" s="1142" t="str">
        <f>IFERROR(INDEX(TablaMaxCalifPos[],MATCH(BO16,HALLAZGOS,0),MATCH($B$8,TablaMaxCalifPos[#Headers],0))*IFERROR(SEARCH("*FISCAL*",BO16,1)*(1-(BO17/BO9)),1)*(AVERAGEIF($C$22:$C$69,"*EFICIENCIA*",BO22:BO69)),"")</f>
        <v/>
      </c>
      <c r="BP74" s="1142" t="str">
        <f>IFERROR(INDEX(TablaMaxCalifPos[],MATCH(BP16,HALLAZGOS,0),MATCH($B$8,TablaMaxCalifPos[#Headers],0))*IFERROR(SEARCH("*FISCAL*",BP16,1)*(1-(BP17/BP9)),1)*(AVERAGEIF($C$22:$C$69,"*EFICIENCIA*",BP22:BP69)),"")</f>
        <v/>
      </c>
      <c r="BQ74" s="1142" t="str">
        <f>IFERROR(INDEX(TablaMaxCalifPos[],MATCH(BQ16,HALLAZGOS,0),MATCH($B$8,TablaMaxCalifPos[#Headers],0))*IFERROR(SEARCH("*FISCAL*",BQ16,1)*(1-(BQ17/BQ9)),1)*(AVERAGEIF($C$22:$C$69,"*EFICIENCIA*",BQ22:BQ69)),"")</f>
        <v/>
      </c>
      <c r="BR74" s="1142" t="str">
        <f>IFERROR(INDEX(TablaMaxCalifPos[],MATCH(BR16,HALLAZGOS,0),MATCH($B$8,TablaMaxCalifPos[#Headers],0))*IFERROR(SEARCH("*FISCAL*",BR16,1)*(1-(BR17/BR9)),1)*(AVERAGEIF($C$22:$C$69,"*EFICIENCIA*",BR22:BR69)),"")</f>
        <v/>
      </c>
      <c r="BS74" s="1142" t="str">
        <f>IFERROR(INDEX(TablaMaxCalifPos[],MATCH(BS16,HALLAZGOS,0),MATCH($B$8,TablaMaxCalifPos[#Headers],0))*IFERROR(SEARCH("*FISCAL*",BS16,1)*(1-(BS17/BS9)),1)*(AVERAGEIF($C$22:$C$69,"*EFICIENCIA*",BS22:BS69)),"")</f>
        <v/>
      </c>
      <c r="BT74" s="1142" t="str">
        <f>IFERROR(INDEX(TablaMaxCalifPos[],MATCH(BT16,HALLAZGOS,0),MATCH($B$8,TablaMaxCalifPos[#Headers],0))*IFERROR(SEARCH("*FISCAL*",BT16,1)*(1-(BT17/BT9)),1)*(AVERAGEIF($C$22:$C$69,"*EFICIENCIA*",BT22:BT69)),"")</f>
        <v/>
      </c>
      <c r="BU74" s="1142" t="str">
        <f>IFERROR(INDEX(TablaMaxCalifPos[],MATCH(BU16,HALLAZGOS,0),MATCH($B$8,TablaMaxCalifPos[#Headers],0))*IFERROR(SEARCH("*FISCAL*",BU16,1)*(1-(BU17/BU9)),1)*(AVERAGEIF($C$22:$C$69,"*EFICIENCIA*",BU22:BU69)),"")</f>
        <v/>
      </c>
      <c r="BV74" s="1142" t="str">
        <f>IFERROR(INDEX(TablaMaxCalifPos[],MATCH(BV16,HALLAZGOS,0),MATCH($B$8,TablaMaxCalifPos[#Headers],0))*IFERROR(SEARCH("*FISCAL*",BV16,1)*(1-(BV17/BV9)),1)*(AVERAGEIF($C$22:$C$69,"*EFICIENCIA*",BV22:BV69)),"")</f>
        <v/>
      </c>
      <c r="BW74" s="1142" t="str">
        <f>IFERROR(INDEX(TablaMaxCalifPos[],MATCH(BW16,HALLAZGOS,0),MATCH($B$8,TablaMaxCalifPos[#Headers],0))*IFERROR(SEARCH("*FISCAL*",BW16,1)*(1-(BW17/BW9)),1)*(AVERAGEIF($C$22:$C$69,"*EFICIENCIA*",BW22:BW69)),"")</f>
        <v/>
      </c>
      <c r="BX74" s="1142" t="str">
        <f>IFERROR(INDEX(TablaMaxCalifPos[],MATCH(BX16,HALLAZGOS,0),MATCH($B$8,TablaMaxCalifPos[#Headers],0))*IFERROR(SEARCH("*FISCAL*",BX16,1)*(1-(BX17/BX9)),1)*(AVERAGEIF($C$22:$C$69,"*EFICIENCIA*",BX22:BX69)),"")</f>
        <v/>
      </c>
      <c r="BY74" s="1142" t="str">
        <f>IFERROR(INDEX(TablaMaxCalifPos[],MATCH(BY16,HALLAZGOS,0),MATCH($B$8,TablaMaxCalifPos[#Headers],0))*IFERROR(SEARCH("*FISCAL*",BY16,1)*(1-(BY17/BY9)),1)*(AVERAGEIF($C$22:$C$69,"*EFICIENCIA*",BY22:BY69)),"")</f>
        <v/>
      </c>
      <c r="BZ74" s="1142" t="str">
        <f>IFERROR(INDEX(TablaMaxCalifPos[],MATCH(BZ16,HALLAZGOS,0),MATCH($B$8,TablaMaxCalifPos[#Headers],0))*IFERROR(SEARCH("*FISCAL*",BZ16,1)*(1-(BZ17/BZ9)),1)*(AVERAGEIF($C$22:$C$69,"*EFICIENCIA*",BZ22:BZ69)),"")</f>
        <v/>
      </c>
      <c r="CA74" s="1142" t="str">
        <f>IFERROR(INDEX(TablaMaxCalifPos[],MATCH(CA16,HALLAZGOS,0),MATCH($B$8,TablaMaxCalifPos[#Headers],0))*IFERROR(SEARCH("*FISCAL*",CA16,1)*(1-(CA17/CA9)),1)*(AVERAGEIF($C$22:$C$69,"*EFICIENCIA*",CA22:CA69)),"")</f>
        <v/>
      </c>
      <c r="CB74" s="1142" t="str">
        <f>IFERROR(INDEX(TablaMaxCalifPos[],MATCH(CB16,HALLAZGOS,0),MATCH($B$8,TablaMaxCalifPos[#Headers],0))*IFERROR(SEARCH("*FISCAL*",CB16,1)*(1-(CB17/CB9)),1)*(AVERAGEIF($C$22:$C$69,"*EFICIENCIA*",CB22:CB69)),"")</f>
        <v/>
      </c>
      <c r="CC74" s="1142" t="str">
        <f>IFERROR(INDEX(TablaMaxCalifPos[],MATCH(CC16,HALLAZGOS,0),MATCH($B$8,TablaMaxCalifPos[#Headers],0))*IFERROR(SEARCH("*FISCAL*",CC16,1)*(1-(CC17/CC9)),1)*(AVERAGEIF($C$22:$C$69,"*EFICIENCIA*",CC22:CC69)),"")</f>
        <v/>
      </c>
      <c r="CD74" s="1142" t="str">
        <f>IFERROR(INDEX(TablaMaxCalifPos[],MATCH(CD16,HALLAZGOS,0),MATCH($B$8,TablaMaxCalifPos[#Headers],0))*IFERROR(SEARCH("*FISCAL*",CD16,1)*(1-(CD17/CD9)),1)*(AVERAGEIF($C$22:$C$69,"*EFICIENCIA*",CD22:CD69)),"")</f>
        <v/>
      </c>
      <c r="CE74" s="1142" t="str">
        <f>IFERROR(INDEX(TablaMaxCalifPos[],MATCH(CE16,HALLAZGOS,0),MATCH($B$8,TablaMaxCalifPos[#Headers],0))*IFERROR(SEARCH("*FISCAL*",CE16,1)*(1-(CE17/CE9)),1)*(AVERAGEIF($C$22:$C$69,"*EFICIENCIA*",CE22:CE69)),"")</f>
        <v/>
      </c>
      <c r="CF74" s="1142" t="str">
        <f>IFERROR(INDEX(TablaMaxCalifPos[],MATCH(CF16,HALLAZGOS,0),MATCH($B$8,TablaMaxCalifPos[#Headers],0))*IFERROR(SEARCH("*FISCAL*",CF16,1)*(1-(CF17/CF9)),1)*(AVERAGEIF($C$22:$C$69,"*EFICIENCIA*",CF22:CF69)),"")</f>
        <v/>
      </c>
      <c r="CG74" s="1142" t="str">
        <f>IFERROR(INDEX(TablaMaxCalifPos[],MATCH(CG16,HALLAZGOS,0),MATCH($B$8,TablaMaxCalifPos[#Headers],0))*IFERROR(SEARCH("*FISCAL*",CG16,1)*(1-(CG17/CG9)),1)*(AVERAGEIF($C$22:$C$69,"*EFICIENCIA*",CG22:CG69)),"")</f>
        <v/>
      </c>
      <c r="CH74" s="1142" t="str">
        <f>IFERROR(INDEX(TablaMaxCalifPos[],MATCH(CH16,HALLAZGOS,0),MATCH($B$8,TablaMaxCalifPos[#Headers],0))*IFERROR(SEARCH("*FISCAL*",CH16,1)*(1-(CH17/CH9)),1)*(AVERAGEIF($C$22:$C$69,"*EFICIENCIA*",CH22:CH69)),"")</f>
        <v/>
      </c>
      <c r="CI74" s="1142" t="str">
        <f>IFERROR(INDEX(TablaMaxCalifPos[],MATCH(CI16,HALLAZGOS,0),MATCH($B$8,TablaMaxCalifPos[#Headers],0))*IFERROR(SEARCH("*FISCAL*",CI16,1)*(1-(CI17/CI9)),1)*(AVERAGEIF($C$22:$C$69,"*EFICIENCIA*",CI22:CI69)),"")</f>
        <v/>
      </c>
      <c r="CJ74" s="1142" t="str">
        <f>IFERROR(INDEX(TablaMaxCalifPos[],MATCH(CJ16,HALLAZGOS,0),MATCH($B$8,TablaMaxCalifPos[#Headers],0))*IFERROR(SEARCH("*FISCAL*",CJ16,1)*(1-(CJ17/CJ9)),1)*(AVERAGEIF($C$22:$C$69,"*EFICIENCIA*",CJ22:CJ69)),"")</f>
        <v/>
      </c>
      <c r="CK74" s="1142" t="str">
        <f>IFERROR(INDEX(TablaMaxCalifPos[],MATCH(CK16,HALLAZGOS,0),MATCH($B$8,TablaMaxCalifPos[#Headers],0))*IFERROR(SEARCH("*FISCAL*",CK16,1)*(1-(CK17/CK9)),1)*(AVERAGEIF($C$22:$C$69,"*EFICIENCIA*",CK22:CK69)),"")</f>
        <v/>
      </c>
      <c r="CL74" s="1142" t="str">
        <f>IFERROR(INDEX(TablaMaxCalifPos[],MATCH(CL16,HALLAZGOS,0),MATCH($B$8,TablaMaxCalifPos[#Headers],0))*IFERROR(SEARCH("*FISCAL*",CL16,1)*(1-(CL17/CL9)),1)*(AVERAGEIF($C$22:$C$69,"*EFICIENCIA*",CL22:CL69)),"")</f>
        <v/>
      </c>
      <c r="CM74" s="1142" t="str">
        <f>IFERROR(INDEX(TablaMaxCalifPos[],MATCH(CM16,HALLAZGOS,0),MATCH($B$8,TablaMaxCalifPos[#Headers],0))*IFERROR(SEARCH("*FISCAL*",CM16,1)*(1-(CM17/CM9)),1)*(AVERAGEIF($C$22:$C$69,"*EFICIENCIA*",CM22:CM69)),"")</f>
        <v/>
      </c>
      <c r="CN74" s="1142" t="str">
        <f>IFERROR(INDEX(TablaMaxCalifPos[],MATCH(CN16,HALLAZGOS,0),MATCH($B$8,TablaMaxCalifPos[#Headers],0))*IFERROR(SEARCH("*FISCAL*",CN16,1)*(1-(CN17/CN9)),1)*(AVERAGEIF($C$22:$C$69,"*EFICIENCIA*",CN22:CN69)),"")</f>
        <v/>
      </c>
      <c r="CO74" s="1142" t="str">
        <f>IFERROR(INDEX(TablaMaxCalifPos[],MATCH(CO16,HALLAZGOS,0),MATCH($B$8,TablaMaxCalifPos[#Headers],0))*IFERROR(SEARCH("*FISCAL*",CO16,1)*(1-(CO17/CO9)),1)*(AVERAGEIF($C$22:$C$69,"*EFICIENCIA*",CO22:CO69)),"")</f>
        <v/>
      </c>
      <c r="CP74" s="1142" t="str">
        <f>IFERROR(INDEX(TablaMaxCalifPos[],MATCH(CP16,HALLAZGOS,0),MATCH($B$8,TablaMaxCalifPos[#Headers],0))*IFERROR(SEARCH("*FISCAL*",CP16,1)*(1-(CP17/CP9)),1)*(AVERAGEIF($C$22:$C$69,"*EFICIENCIA*",CP22:CP69)),"")</f>
        <v/>
      </c>
      <c r="CQ74" s="1142" t="str">
        <f>IFERROR(INDEX(TablaMaxCalifPos[],MATCH(CQ16,HALLAZGOS,0),MATCH($B$8,TablaMaxCalifPos[#Headers],0))*IFERROR(SEARCH("*FISCAL*",CQ16,1)*(1-(CQ17/CQ9)),1)*(AVERAGEIF($C$22:$C$69,"*EFICIENCIA*",CQ22:CQ69)),"")</f>
        <v/>
      </c>
      <c r="CR74" s="1142" t="str">
        <f>IFERROR(INDEX(TablaMaxCalifPos[],MATCH(CR16,HALLAZGOS,0),MATCH($B$8,TablaMaxCalifPos[#Headers],0))*IFERROR(SEARCH("*FISCAL*",CR16,1)*(1-(CR17/CR9)),1)*(AVERAGEIF($C$22:$C$69,"*EFICIENCIA*",CR22:CR69)),"")</f>
        <v/>
      </c>
      <c r="CS74" s="1142" t="str">
        <f>IFERROR(INDEX(TablaMaxCalifPos[],MATCH(CS16,HALLAZGOS,0),MATCH($B$8,TablaMaxCalifPos[#Headers],0))*IFERROR(SEARCH("*FISCAL*",CS16,1)*(1-(CS17/CS9)),1)*(AVERAGEIF($C$22:$C$69,"*EFICIENCIA*",CS22:CS69)),"")</f>
        <v/>
      </c>
      <c r="CT74" s="1142" t="str">
        <f>IFERROR(INDEX(TablaMaxCalifPos[],MATCH(CT16,HALLAZGOS,0),MATCH($B$8,TablaMaxCalifPos[#Headers],0))*IFERROR(SEARCH("*FISCAL*",CT16,1)*(1-(CT17/CT9)),1)*(AVERAGEIF($C$22:$C$69,"*EFICIENCIA*",CT22:CT69)),"")</f>
        <v/>
      </c>
      <c r="CU74" s="1142" t="str">
        <f>IFERROR(INDEX(TablaMaxCalifPos[],MATCH(CU16,HALLAZGOS,0),MATCH($B$8,TablaMaxCalifPos[#Headers],0))*IFERROR(SEARCH("*FISCAL*",CU16,1)*(1-(CU17/CU9)),1)*(AVERAGEIF($C$22:$C$69,"*EFICIENCIA*",CU22:CU69)),"")</f>
        <v/>
      </c>
      <c r="CV74" s="1142" t="str">
        <f>IFERROR(INDEX(TablaMaxCalifPos[],MATCH(CV16,HALLAZGOS,0),MATCH($B$8,TablaMaxCalifPos[#Headers],0))*IFERROR(SEARCH("*FISCAL*",CV16,1)*(1-(CV17/CV9)),1)*(AVERAGEIF($C$22:$C$69,"*EFICIENCIA*",CV22:CV69)),"")</f>
        <v/>
      </c>
      <c r="CW74" s="1142" t="str">
        <f>IFERROR(INDEX(TablaMaxCalifPos[],MATCH(CW16,HALLAZGOS,0),MATCH($B$8,TablaMaxCalifPos[#Headers],0))*IFERROR(SEARCH("*FISCAL*",CW16,1)*(1-(CW17/CW9)),1)*(AVERAGEIF($C$22:$C$69,"*EFICIENCIA*",CW22:CW69)),"")</f>
        <v/>
      </c>
      <c r="CX74" s="1142" t="str">
        <f>IFERROR(INDEX(TablaMaxCalifPos[],MATCH(CX16,HALLAZGOS,0),MATCH($B$8,TablaMaxCalifPos[#Headers],0))*IFERROR(SEARCH("*FISCAL*",CX16,1)*(1-(CX17/CX9)),1)*(AVERAGEIF($C$22:$C$69,"*EFICIENCIA*",CX22:CX69)),"")</f>
        <v/>
      </c>
      <c r="CY74" s="1142" t="str">
        <f>IFERROR(INDEX(TablaMaxCalifPos[],MATCH(CY16,HALLAZGOS,0),MATCH($B$8,TablaMaxCalifPos[#Headers],0))*IFERROR(SEARCH("*FISCAL*",CY16,1)*(1-(CY17/CY9)),1)*(AVERAGEIF($C$22:$C$69,"*EFICIENCIA*",CY22:CY69)),"")</f>
        <v/>
      </c>
      <c r="CZ74" s="177" t="s">
        <v>274</v>
      </c>
    </row>
    <row r="75" spans="1:105" s="176" customFormat="1" ht="18" x14ac:dyDescent="0.25">
      <c r="C75" s="1535"/>
      <c r="D75" s="177"/>
      <c r="E75" s="178"/>
      <c r="F75" s="178"/>
      <c r="G75" s="178"/>
      <c r="H75" s="178"/>
      <c r="I75" s="178"/>
      <c r="J75" s="178"/>
      <c r="K75" s="178"/>
      <c r="L75" s="178"/>
      <c r="M75" s="178"/>
      <c r="N75" s="178"/>
      <c r="O75" s="178"/>
      <c r="P75" s="178"/>
      <c r="Q75" s="178"/>
      <c r="R75" s="178"/>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row>
    <row r="76" spans="1:105" s="187" customFormat="1" ht="15" x14ac:dyDescent="0.25">
      <c r="C76" s="1541"/>
      <c r="D76" s="174" t="s">
        <v>275</v>
      </c>
      <c r="E76" s="182">
        <f t="shared" ref="E76:AJ76" si="3">IFERROR(E72*E15,"")</f>
        <v>5.7124547893505594E-2</v>
      </c>
      <c r="F76" s="182">
        <f t="shared" si="3"/>
        <v>8.4429310919929071E-3</v>
      </c>
      <c r="G76" s="182">
        <f t="shared" si="3"/>
        <v>3.2188896620358842E-2</v>
      </c>
      <c r="H76" s="182">
        <f t="shared" si="3"/>
        <v>0.24080654763390749</v>
      </c>
      <c r="I76" s="182">
        <f t="shared" si="3"/>
        <v>0.17455341802587093</v>
      </c>
      <c r="J76" s="182">
        <f t="shared" si="3"/>
        <v>6.9730987157439042E-2</v>
      </c>
      <c r="K76" s="182">
        <f t="shared" si="3"/>
        <v>0.14985104363216506</v>
      </c>
      <c r="L76" s="182" t="str">
        <f t="shared" si="3"/>
        <v/>
      </c>
      <c r="M76" s="182" t="str">
        <f t="shared" si="3"/>
        <v/>
      </c>
      <c r="N76" s="182" t="str">
        <f t="shared" si="3"/>
        <v/>
      </c>
      <c r="O76" s="182" t="str">
        <f t="shared" si="3"/>
        <v/>
      </c>
      <c r="P76" s="182" t="str">
        <f t="shared" si="3"/>
        <v/>
      </c>
      <c r="Q76" s="182" t="str">
        <f t="shared" si="3"/>
        <v/>
      </c>
      <c r="R76" s="182" t="str">
        <f t="shared" si="3"/>
        <v/>
      </c>
      <c r="S76" s="182" t="str">
        <f t="shared" si="3"/>
        <v/>
      </c>
      <c r="T76" s="182" t="str">
        <f t="shared" si="3"/>
        <v/>
      </c>
      <c r="U76" s="182" t="str">
        <f t="shared" si="3"/>
        <v/>
      </c>
      <c r="V76" s="182" t="str">
        <f t="shared" si="3"/>
        <v/>
      </c>
      <c r="W76" s="182" t="str">
        <f t="shared" si="3"/>
        <v/>
      </c>
      <c r="X76" s="182" t="str">
        <f t="shared" si="3"/>
        <v/>
      </c>
      <c r="Y76" s="182" t="str">
        <f t="shared" si="3"/>
        <v/>
      </c>
      <c r="Z76" s="182" t="str">
        <f t="shared" si="3"/>
        <v/>
      </c>
      <c r="AA76" s="182" t="str">
        <f t="shared" si="3"/>
        <v/>
      </c>
      <c r="AB76" s="182" t="str">
        <f t="shared" si="3"/>
        <v/>
      </c>
      <c r="AC76" s="182" t="str">
        <f t="shared" si="3"/>
        <v/>
      </c>
      <c r="AD76" s="182" t="str">
        <f t="shared" si="3"/>
        <v/>
      </c>
      <c r="AE76" s="182" t="str">
        <f t="shared" si="3"/>
        <v/>
      </c>
      <c r="AF76" s="182" t="str">
        <f t="shared" si="3"/>
        <v/>
      </c>
      <c r="AG76" s="182" t="str">
        <f t="shared" si="3"/>
        <v/>
      </c>
      <c r="AH76" s="182" t="str">
        <f t="shared" si="3"/>
        <v/>
      </c>
      <c r="AI76" s="182" t="str">
        <f t="shared" si="3"/>
        <v/>
      </c>
      <c r="AJ76" s="182" t="str">
        <f t="shared" si="3"/>
        <v/>
      </c>
      <c r="AK76" s="182" t="str">
        <f t="shared" ref="AK76:BP76" si="4">IFERROR(AK72*AK15,"")</f>
        <v/>
      </c>
      <c r="AL76" s="182" t="str">
        <f t="shared" si="4"/>
        <v/>
      </c>
      <c r="AM76" s="182" t="str">
        <f t="shared" si="4"/>
        <v/>
      </c>
      <c r="AN76" s="182" t="str">
        <f t="shared" si="4"/>
        <v/>
      </c>
      <c r="AO76" s="182" t="str">
        <f t="shared" si="4"/>
        <v/>
      </c>
      <c r="AP76" s="182" t="str">
        <f t="shared" si="4"/>
        <v/>
      </c>
      <c r="AQ76" s="182" t="str">
        <f t="shared" si="4"/>
        <v/>
      </c>
      <c r="AR76" s="182" t="str">
        <f t="shared" si="4"/>
        <v/>
      </c>
      <c r="AS76" s="182" t="str">
        <f t="shared" si="4"/>
        <v/>
      </c>
      <c r="AT76" s="182" t="str">
        <f t="shared" si="4"/>
        <v/>
      </c>
      <c r="AU76" s="182" t="str">
        <f t="shared" si="4"/>
        <v/>
      </c>
      <c r="AV76" s="182" t="str">
        <f t="shared" si="4"/>
        <v/>
      </c>
      <c r="AW76" s="182" t="str">
        <f t="shared" si="4"/>
        <v/>
      </c>
      <c r="AX76" s="182" t="str">
        <f t="shared" si="4"/>
        <v/>
      </c>
      <c r="AY76" s="182" t="str">
        <f t="shared" si="4"/>
        <v/>
      </c>
      <c r="AZ76" s="182" t="str">
        <f t="shared" si="4"/>
        <v/>
      </c>
      <c r="BA76" s="182" t="str">
        <f t="shared" si="4"/>
        <v/>
      </c>
      <c r="BB76" s="182" t="str">
        <f t="shared" si="4"/>
        <v/>
      </c>
      <c r="BC76" s="182" t="str">
        <f t="shared" si="4"/>
        <v/>
      </c>
      <c r="BD76" s="182" t="str">
        <f t="shared" si="4"/>
        <v/>
      </c>
      <c r="BE76" s="182" t="str">
        <f t="shared" si="4"/>
        <v/>
      </c>
      <c r="BF76" s="182" t="str">
        <f t="shared" si="4"/>
        <v/>
      </c>
      <c r="BG76" s="182" t="str">
        <f t="shared" si="4"/>
        <v/>
      </c>
      <c r="BH76" s="182" t="str">
        <f t="shared" si="4"/>
        <v/>
      </c>
      <c r="BI76" s="182" t="str">
        <f t="shared" si="4"/>
        <v/>
      </c>
      <c r="BJ76" s="182" t="str">
        <f t="shared" si="4"/>
        <v/>
      </c>
      <c r="BK76" s="182" t="str">
        <f t="shared" si="4"/>
        <v/>
      </c>
      <c r="BL76" s="182" t="str">
        <f t="shared" si="4"/>
        <v/>
      </c>
      <c r="BM76" s="182" t="str">
        <f t="shared" si="4"/>
        <v/>
      </c>
      <c r="BN76" s="182" t="str">
        <f t="shared" si="4"/>
        <v/>
      </c>
      <c r="BO76" s="182" t="str">
        <f t="shared" si="4"/>
        <v/>
      </c>
      <c r="BP76" s="182" t="str">
        <f t="shared" si="4"/>
        <v/>
      </c>
      <c r="BQ76" s="182" t="str">
        <f t="shared" ref="BQ76:CY76" si="5">IFERROR(BQ72*BQ15,"")</f>
        <v/>
      </c>
      <c r="BR76" s="182" t="str">
        <f t="shared" si="5"/>
        <v/>
      </c>
      <c r="BS76" s="182" t="str">
        <f t="shared" si="5"/>
        <v/>
      </c>
      <c r="BT76" s="182" t="str">
        <f t="shared" si="5"/>
        <v/>
      </c>
      <c r="BU76" s="182" t="str">
        <f t="shared" si="5"/>
        <v/>
      </c>
      <c r="BV76" s="182" t="str">
        <f t="shared" si="5"/>
        <v/>
      </c>
      <c r="BW76" s="182" t="str">
        <f t="shared" si="5"/>
        <v/>
      </c>
      <c r="BX76" s="182" t="str">
        <f t="shared" si="5"/>
        <v/>
      </c>
      <c r="BY76" s="182" t="str">
        <f t="shared" si="5"/>
        <v/>
      </c>
      <c r="BZ76" s="182" t="str">
        <f t="shared" si="5"/>
        <v/>
      </c>
      <c r="CA76" s="182" t="str">
        <f t="shared" si="5"/>
        <v/>
      </c>
      <c r="CB76" s="182" t="str">
        <f t="shared" si="5"/>
        <v/>
      </c>
      <c r="CC76" s="182" t="str">
        <f t="shared" si="5"/>
        <v/>
      </c>
      <c r="CD76" s="182" t="str">
        <f t="shared" si="5"/>
        <v/>
      </c>
      <c r="CE76" s="182" t="str">
        <f t="shared" si="5"/>
        <v/>
      </c>
      <c r="CF76" s="182" t="str">
        <f t="shared" si="5"/>
        <v/>
      </c>
      <c r="CG76" s="182" t="str">
        <f t="shared" si="5"/>
        <v/>
      </c>
      <c r="CH76" s="182" t="str">
        <f t="shared" si="5"/>
        <v/>
      </c>
      <c r="CI76" s="182" t="str">
        <f t="shared" si="5"/>
        <v/>
      </c>
      <c r="CJ76" s="182" t="str">
        <f t="shared" si="5"/>
        <v/>
      </c>
      <c r="CK76" s="182" t="str">
        <f t="shared" si="5"/>
        <v/>
      </c>
      <c r="CL76" s="182" t="str">
        <f t="shared" si="5"/>
        <v/>
      </c>
      <c r="CM76" s="182" t="str">
        <f t="shared" si="5"/>
        <v/>
      </c>
      <c r="CN76" s="182" t="str">
        <f t="shared" si="5"/>
        <v/>
      </c>
      <c r="CO76" s="182" t="str">
        <f t="shared" si="5"/>
        <v/>
      </c>
      <c r="CP76" s="182" t="str">
        <f t="shared" si="5"/>
        <v/>
      </c>
      <c r="CQ76" s="182" t="str">
        <f t="shared" si="5"/>
        <v/>
      </c>
      <c r="CR76" s="182" t="str">
        <f t="shared" si="5"/>
        <v/>
      </c>
      <c r="CS76" s="182" t="str">
        <f t="shared" si="5"/>
        <v/>
      </c>
      <c r="CT76" s="182" t="str">
        <f t="shared" si="5"/>
        <v/>
      </c>
      <c r="CU76" s="182" t="str">
        <f t="shared" si="5"/>
        <v/>
      </c>
      <c r="CV76" s="182" t="str">
        <f t="shared" si="5"/>
        <v/>
      </c>
      <c r="CW76" s="182" t="str">
        <f t="shared" si="5"/>
        <v/>
      </c>
      <c r="CX76" s="182" t="str">
        <f t="shared" si="5"/>
        <v/>
      </c>
      <c r="CY76" s="182" t="str">
        <f t="shared" si="5"/>
        <v/>
      </c>
      <c r="CZ76" s="183">
        <f>IFERROR(SUM(E76:CY76)/SUMIF(E76:CY76,"&gt;=0",E15:CY15),"")</f>
        <v>0.73269837205523991</v>
      </c>
      <c r="DA76" s="1542"/>
    </row>
    <row r="77" spans="1:105" s="187" customFormat="1" ht="15" x14ac:dyDescent="0.25">
      <c r="C77" s="1541"/>
      <c r="D77" s="174" t="s">
        <v>276</v>
      </c>
      <c r="E77" s="182">
        <f t="shared" ref="E77:AJ77" si="6">IFERROR(E73*E15,"")</f>
        <v>5.7648626314546932E-2</v>
      </c>
      <c r="F77" s="182">
        <f t="shared" si="6"/>
        <v>8.0159042304036709E-3</v>
      </c>
      <c r="G77" s="182">
        <f t="shared" si="6"/>
        <v>3.3812840954358929E-2</v>
      </c>
      <c r="H77" s="182">
        <f t="shared" si="6"/>
        <v>0.22182532564394067</v>
      </c>
      <c r="I77" s="182">
        <f t="shared" si="6"/>
        <v>0.17237150030054754</v>
      </c>
      <c r="J77" s="182">
        <f t="shared" si="6"/>
        <v>7.5986615682192268E-2</v>
      </c>
      <c r="K77" s="182">
        <f t="shared" si="6"/>
        <v>0.1629380347760408</v>
      </c>
      <c r="L77" s="182" t="str">
        <f t="shared" si="6"/>
        <v/>
      </c>
      <c r="M77" s="182" t="str">
        <f t="shared" si="6"/>
        <v/>
      </c>
      <c r="N77" s="182" t="str">
        <f t="shared" si="6"/>
        <v/>
      </c>
      <c r="O77" s="182" t="str">
        <f t="shared" si="6"/>
        <v/>
      </c>
      <c r="P77" s="182" t="str">
        <f t="shared" si="6"/>
        <v/>
      </c>
      <c r="Q77" s="182" t="str">
        <f t="shared" si="6"/>
        <v/>
      </c>
      <c r="R77" s="182" t="str">
        <f t="shared" si="6"/>
        <v/>
      </c>
      <c r="S77" s="182" t="str">
        <f t="shared" si="6"/>
        <v/>
      </c>
      <c r="T77" s="182" t="str">
        <f t="shared" si="6"/>
        <v/>
      </c>
      <c r="U77" s="182" t="str">
        <f t="shared" si="6"/>
        <v/>
      </c>
      <c r="V77" s="182" t="str">
        <f t="shared" si="6"/>
        <v/>
      </c>
      <c r="W77" s="182" t="str">
        <f t="shared" si="6"/>
        <v/>
      </c>
      <c r="X77" s="182" t="str">
        <f t="shared" si="6"/>
        <v/>
      </c>
      <c r="Y77" s="182" t="str">
        <f t="shared" si="6"/>
        <v/>
      </c>
      <c r="Z77" s="182" t="str">
        <f t="shared" si="6"/>
        <v/>
      </c>
      <c r="AA77" s="182" t="str">
        <f t="shared" si="6"/>
        <v/>
      </c>
      <c r="AB77" s="182" t="str">
        <f t="shared" si="6"/>
        <v/>
      </c>
      <c r="AC77" s="182" t="str">
        <f t="shared" si="6"/>
        <v/>
      </c>
      <c r="AD77" s="182" t="str">
        <f t="shared" si="6"/>
        <v/>
      </c>
      <c r="AE77" s="182" t="str">
        <f t="shared" si="6"/>
        <v/>
      </c>
      <c r="AF77" s="182" t="str">
        <f t="shared" si="6"/>
        <v/>
      </c>
      <c r="AG77" s="182" t="str">
        <f t="shared" si="6"/>
        <v/>
      </c>
      <c r="AH77" s="182" t="str">
        <f t="shared" si="6"/>
        <v/>
      </c>
      <c r="AI77" s="182" t="str">
        <f t="shared" si="6"/>
        <v/>
      </c>
      <c r="AJ77" s="182" t="str">
        <f t="shared" si="6"/>
        <v/>
      </c>
      <c r="AK77" s="182" t="str">
        <f t="shared" ref="AK77:BP77" si="7">IFERROR(AK73*AK15,"")</f>
        <v/>
      </c>
      <c r="AL77" s="182" t="str">
        <f t="shared" si="7"/>
        <v/>
      </c>
      <c r="AM77" s="182" t="str">
        <f t="shared" si="7"/>
        <v/>
      </c>
      <c r="AN77" s="182" t="str">
        <f t="shared" si="7"/>
        <v/>
      </c>
      <c r="AO77" s="182" t="str">
        <f t="shared" si="7"/>
        <v/>
      </c>
      <c r="AP77" s="182" t="str">
        <f t="shared" si="7"/>
        <v/>
      </c>
      <c r="AQ77" s="182" t="str">
        <f t="shared" si="7"/>
        <v/>
      </c>
      <c r="AR77" s="182" t="str">
        <f t="shared" si="7"/>
        <v/>
      </c>
      <c r="AS77" s="182" t="str">
        <f t="shared" si="7"/>
        <v/>
      </c>
      <c r="AT77" s="182" t="str">
        <f t="shared" si="7"/>
        <v/>
      </c>
      <c r="AU77" s="182" t="str">
        <f t="shared" si="7"/>
        <v/>
      </c>
      <c r="AV77" s="182" t="str">
        <f t="shared" si="7"/>
        <v/>
      </c>
      <c r="AW77" s="182" t="str">
        <f t="shared" si="7"/>
        <v/>
      </c>
      <c r="AX77" s="182" t="str">
        <f t="shared" si="7"/>
        <v/>
      </c>
      <c r="AY77" s="182" t="str">
        <f t="shared" si="7"/>
        <v/>
      </c>
      <c r="AZ77" s="182" t="str">
        <f t="shared" si="7"/>
        <v/>
      </c>
      <c r="BA77" s="182" t="str">
        <f t="shared" si="7"/>
        <v/>
      </c>
      <c r="BB77" s="182" t="str">
        <f t="shared" si="7"/>
        <v/>
      </c>
      <c r="BC77" s="182" t="str">
        <f t="shared" si="7"/>
        <v/>
      </c>
      <c r="BD77" s="182" t="str">
        <f t="shared" si="7"/>
        <v/>
      </c>
      <c r="BE77" s="182" t="str">
        <f t="shared" si="7"/>
        <v/>
      </c>
      <c r="BF77" s="182" t="str">
        <f t="shared" si="7"/>
        <v/>
      </c>
      <c r="BG77" s="182" t="str">
        <f t="shared" si="7"/>
        <v/>
      </c>
      <c r="BH77" s="182" t="str">
        <f t="shared" si="7"/>
        <v/>
      </c>
      <c r="BI77" s="182" t="str">
        <f t="shared" si="7"/>
        <v/>
      </c>
      <c r="BJ77" s="182" t="str">
        <f t="shared" si="7"/>
        <v/>
      </c>
      <c r="BK77" s="182" t="str">
        <f t="shared" si="7"/>
        <v/>
      </c>
      <c r="BL77" s="182" t="str">
        <f t="shared" si="7"/>
        <v/>
      </c>
      <c r="BM77" s="182" t="str">
        <f t="shared" si="7"/>
        <v/>
      </c>
      <c r="BN77" s="182" t="str">
        <f t="shared" si="7"/>
        <v/>
      </c>
      <c r="BO77" s="182" t="str">
        <f t="shared" si="7"/>
        <v/>
      </c>
      <c r="BP77" s="182" t="str">
        <f t="shared" si="7"/>
        <v/>
      </c>
      <c r="BQ77" s="182" t="str">
        <f t="shared" ref="BQ77:CY77" si="8">IFERROR(BQ73*BQ15,"")</f>
        <v/>
      </c>
      <c r="BR77" s="182" t="str">
        <f t="shared" si="8"/>
        <v/>
      </c>
      <c r="BS77" s="182" t="str">
        <f t="shared" si="8"/>
        <v/>
      </c>
      <c r="BT77" s="182" t="str">
        <f t="shared" si="8"/>
        <v/>
      </c>
      <c r="BU77" s="182" t="str">
        <f t="shared" si="8"/>
        <v/>
      </c>
      <c r="BV77" s="182" t="str">
        <f t="shared" si="8"/>
        <v/>
      </c>
      <c r="BW77" s="182" t="str">
        <f t="shared" si="8"/>
        <v/>
      </c>
      <c r="BX77" s="182" t="str">
        <f t="shared" si="8"/>
        <v/>
      </c>
      <c r="BY77" s="182" t="str">
        <f t="shared" si="8"/>
        <v/>
      </c>
      <c r="BZ77" s="182" t="str">
        <f t="shared" si="8"/>
        <v/>
      </c>
      <c r="CA77" s="182" t="str">
        <f t="shared" si="8"/>
        <v/>
      </c>
      <c r="CB77" s="182" t="str">
        <f t="shared" si="8"/>
        <v/>
      </c>
      <c r="CC77" s="182" t="str">
        <f t="shared" si="8"/>
        <v/>
      </c>
      <c r="CD77" s="182" t="str">
        <f t="shared" si="8"/>
        <v/>
      </c>
      <c r="CE77" s="182" t="str">
        <f t="shared" si="8"/>
        <v/>
      </c>
      <c r="CF77" s="182" t="str">
        <f t="shared" si="8"/>
        <v/>
      </c>
      <c r="CG77" s="182" t="str">
        <f t="shared" si="8"/>
        <v/>
      </c>
      <c r="CH77" s="182" t="str">
        <f t="shared" si="8"/>
        <v/>
      </c>
      <c r="CI77" s="182" t="str">
        <f t="shared" si="8"/>
        <v/>
      </c>
      <c r="CJ77" s="182" t="str">
        <f t="shared" si="8"/>
        <v/>
      </c>
      <c r="CK77" s="182" t="str">
        <f t="shared" si="8"/>
        <v/>
      </c>
      <c r="CL77" s="182" t="str">
        <f t="shared" si="8"/>
        <v/>
      </c>
      <c r="CM77" s="182" t="str">
        <f t="shared" si="8"/>
        <v/>
      </c>
      <c r="CN77" s="182" t="str">
        <f t="shared" si="8"/>
        <v/>
      </c>
      <c r="CO77" s="182" t="str">
        <f t="shared" si="8"/>
        <v/>
      </c>
      <c r="CP77" s="182" t="str">
        <f t="shared" si="8"/>
        <v/>
      </c>
      <c r="CQ77" s="182" t="str">
        <f t="shared" si="8"/>
        <v/>
      </c>
      <c r="CR77" s="182" t="str">
        <f t="shared" si="8"/>
        <v/>
      </c>
      <c r="CS77" s="182" t="str">
        <f t="shared" si="8"/>
        <v/>
      </c>
      <c r="CT77" s="182" t="str">
        <f t="shared" si="8"/>
        <v/>
      </c>
      <c r="CU77" s="182" t="str">
        <f t="shared" si="8"/>
        <v/>
      </c>
      <c r="CV77" s="182" t="str">
        <f t="shared" si="8"/>
        <v/>
      </c>
      <c r="CW77" s="182" t="str">
        <f t="shared" si="8"/>
        <v/>
      </c>
      <c r="CX77" s="182" t="str">
        <f t="shared" si="8"/>
        <v/>
      </c>
      <c r="CY77" s="182" t="str">
        <f t="shared" si="8"/>
        <v/>
      </c>
      <c r="CZ77" s="183">
        <f>IFERROR(SUM(E77:CY77)/SUMIF(E77:CY77,"&gt;=0",E15:CY15),"")</f>
        <v>0.73259884790203089</v>
      </c>
    </row>
    <row r="78" spans="1:105" s="187" customFormat="1" ht="15" x14ac:dyDescent="0.25">
      <c r="C78" s="1541"/>
      <c r="D78" s="174" t="s">
        <v>277</v>
      </c>
      <c r="E78" s="182">
        <f t="shared" ref="E78:AJ78" si="9">IFERROR(E74*E15,"")</f>
        <v>5.6207410656683263E-2</v>
      </c>
      <c r="F78" s="182">
        <f t="shared" si="9"/>
        <v>7.6425607456999381E-3</v>
      </c>
      <c r="G78" s="182">
        <f t="shared" si="9"/>
        <v>3.2536884691930293E-2</v>
      </c>
      <c r="H78" s="182">
        <f t="shared" si="9"/>
        <v>0.24859734770441627</v>
      </c>
      <c r="I78" s="182">
        <f t="shared" si="9"/>
        <v>0.16582574712457737</v>
      </c>
      <c r="J78" s="182">
        <f t="shared" si="9"/>
        <v>7.4356001611758954E-2</v>
      </c>
      <c r="K78" s="182">
        <f t="shared" si="9"/>
        <v>0.15291466496864486</v>
      </c>
      <c r="L78" s="182" t="str">
        <f t="shared" si="9"/>
        <v/>
      </c>
      <c r="M78" s="182" t="str">
        <f t="shared" si="9"/>
        <v/>
      </c>
      <c r="N78" s="182" t="str">
        <f t="shared" si="9"/>
        <v/>
      </c>
      <c r="O78" s="182" t="str">
        <f t="shared" si="9"/>
        <v/>
      </c>
      <c r="P78" s="182" t="str">
        <f t="shared" si="9"/>
        <v/>
      </c>
      <c r="Q78" s="182" t="str">
        <f t="shared" si="9"/>
        <v/>
      </c>
      <c r="R78" s="182" t="str">
        <f t="shared" si="9"/>
        <v/>
      </c>
      <c r="S78" s="182" t="str">
        <f t="shared" si="9"/>
        <v/>
      </c>
      <c r="T78" s="182" t="str">
        <f t="shared" si="9"/>
        <v/>
      </c>
      <c r="U78" s="182" t="str">
        <f t="shared" si="9"/>
        <v/>
      </c>
      <c r="V78" s="182" t="str">
        <f t="shared" si="9"/>
        <v/>
      </c>
      <c r="W78" s="182" t="str">
        <f t="shared" si="9"/>
        <v/>
      </c>
      <c r="X78" s="182" t="str">
        <f t="shared" si="9"/>
        <v/>
      </c>
      <c r="Y78" s="182" t="str">
        <f t="shared" si="9"/>
        <v/>
      </c>
      <c r="Z78" s="182" t="str">
        <f t="shared" si="9"/>
        <v/>
      </c>
      <c r="AA78" s="182" t="str">
        <f t="shared" si="9"/>
        <v/>
      </c>
      <c r="AB78" s="182" t="str">
        <f t="shared" si="9"/>
        <v/>
      </c>
      <c r="AC78" s="182" t="str">
        <f t="shared" si="9"/>
        <v/>
      </c>
      <c r="AD78" s="182" t="str">
        <f t="shared" si="9"/>
        <v/>
      </c>
      <c r="AE78" s="182" t="str">
        <f t="shared" si="9"/>
        <v/>
      </c>
      <c r="AF78" s="182" t="str">
        <f t="shared" si="9"/>
        <v/>
      </c>
      <c r="AG78" s="182" t="str">
        <f t="shared" si="9"/>
        <v/>
      </c>
      <c r="AH78" s="182" t="str">
        <f t="shared" si="9"/>
        <v/>
      </c>
      <c r="AI78" s="182" t="str">
        <f t="shared" si="9"/>
        <v/>
      </c>
      <c r="AJ78" s="182" t="str">
        <f t="shared" si="9"/>
        <v/>
      </c>
      <c r="AK78" s="182" t="str">
        <f t="shared" ref="AK78:BP78" si="10">IFERROR(AK74*AK15,"")</f>
        <v/>
      </c>
      <c r="AL78" s="182" t="str">
        <f t="shared" si="10"/>
        <v/>
      </c>
      <c r="AM78" s="182" t="str">
        <f t="shared" si="10"/>
        <v/>
      </c>
      <c r="AN78" s="182" t="str">
        <f t="shared" si="10"/>
        <v/>
      </c>
      <c r="AO78" s="182" t="str">
        <f t="shared" si="10"/>
        <v/>
      </c>
      <c r="AP78" s="182" t="str">
        <f t="shared" si="10"/>
        <v/>
      </c>
      <c r="AQ78" s="182" t="str">
        <f t="shared" si="10"/>
        <v/>
      </c>
      <c r="AR78" s="182" t="str">
        <f t="shared" si="10"/>
        <v/>
      </c>
      <c r="AS78" s="182" t="str">
        <f t="shared" si="10"/>
        <v/>
      </c>
      <c r="AT78" s="182" t="str">
        <f t="shared" si="10"/>
        <v/>
      </c>
      <c r="AU78" s="182" t="str">
        <f t="shared" si="10"/>
        <v/>
      </c>
      <c r="AV78" s="182" t="str">
        <f t="shared" si="10"/>
        <v/>
      </c>
      <c r="AW78" s="182" t="str">
        <f t="shared" si="10"/>
        <v/>
      </c>
      <c r="AX78" s="182" t="str">
        <f t="shared" si="10"/>
        <v/>
      </c>
      <c r="AY78" s="182" t="str">
        <f t="shared" si="10"/>
        <v/>
      </c>
      <c r="AZ78" s="182" t="str">
        <f t="shared" si="10"/>
        <v/>
      </c>
      <c r="BA78" s="182" t="str">
        <f t="shared" si="10"/>
        <v/>
      </c>
      <c r="BB78" s="182" t="str">
        <f t="shared" si="10"/>
        <v/>
      </c>
      <c r="BC78" s="182" t="str">
        <f t="shared" si="10"/>
        <v/>
      </c>
      <c r="BD78" s="182" t="str">
        <f t="shared" si="10"/>
        <v/>
      </c>
      <c r="BE78" s="182" t="str">
        <f t="shared" si="10"/>
        <v/>
      </c>
      <c r="BF78" s="182" t="str">
        <f t="shared" si="10"/>
        <v/>
      </c>
      <c r="BG78" s="182" t="str">
        <f t="shared" si="10"/>
        <v/>
      </c>
      <c r="BH78" s="182" t="str">
        <f t="shared" si="10"/>
        <v/>
      </c>
      <c r="BI78" s="182" t="str">
        <f t="shared" si="10"/>
        <v/>
      </c>
      <c r="BJ78" s="182" t="str">
        <f t="shared" si="10"/>
        <v/>
      </c>
      <c r="BK78" s="182" t="str">
        <f t="shared" si="10"/>
        <v/>
      </c>
      <c r="BL78" s="182" t="str">
        <f t="shared" si="10"/>
        <v/>
      </c>
      <c r="BM78" s="182" t="str">
        <f t="shared" si="10"/>
        <v/>
      </c>
      <c r="BN78" s="182" t="str">
        <f t="shared" si="10"/>
        <v/>
      </c>
      <c r="BO78" s="182" t="str">
        <f t="shared" si="10"/>
        <v/>
      </c>
      <c r="BP78" s="182" t="str">
        <f t="shared" si="10"/>
        <v/>
      </c>
      <c r="BQ78" s="182" t="str">
        <f t="shared" ref="BQ78:CY78" si="11">IFERROR(BQ74*BQ15,"")</f>
        <v/>
      </c>
      <c r="BR78" s="182" t="str">
        <f t="shared" si="11"/>
        <v/>
      </c>
      <c r="BS78" s="182" t="str">
        <f t="shared" si="11"/>
        <v/>
      </c>
      <c r="BT78" s="182" t="str">
        <f t="shared" si="11"/>
        <v/>
      </c>
      <c r="BU78" s="182" t="str">
        <f t="shared" si="11"/>
        <v/>
      </c>
      <c r="BV78" s="182" t="str">
        <f t="shared" si="11"/>
        <v/>
      </c>
      <c r="BW78" s="182" t="str">
        <f t="shared" si="11"/>
        <v/>
      </c>
      <c r="BX78" s="182" t="str">
        <f t="shared" si="11"/>
        <v/>
      </c>
      <c r="BY78" s="182" t="str">
        <f t="shared" si="11"/>
        <v/>
      </c>
      <c r="BZ78" s="182" t="str">
        <f t="shared" si="11"/>
        <v/>
      </c>
      <c r="CA78" s="182" t="str">
        <f t="shared" si="11"/>
        <v/>
      </c>
      <c r="CB78" s="182" t="str">
        <f t="shared" si="11"/>
        <v/>
      </c>
      <c r="CC78" s="182" t="str">
        <f t="shared" si="11"/>
        <v/>
      </c>
      <c r="CD78" s="182" t="str">
        <f t="shared" si="11"/>
        <v/>
      </c>
      <c r="CE78" s="182" t="str">
        <f t="shared" si="11"/>
        <v/>
      </c>
      <c r="CF78" s="182" t="str">
        <f t="shared" si="11"/>
        <v/>
      </c>
      <c r="CG78" s="182" t="str">
        <f t="shared" si="11"/>
        <v/>
      </c>
      <c r="CH78" s="182" t="str">
        <f t="shared" si="11"/>
        <v/>
      </c>
      <c r="CI78" s="182" t="str">
        <f t="shared" si="11"/>
        <v/>
      </c>
      <c r="CJ78" s="182" t="str">
        <f t="shared" si="11"/>
        <v/>
      </c>
      <c r="CK78" s="182" t="str">
        <f t="shared" si="11"/>
        <v/>
      </c>
      <c r="CL78" s="182" t="str">
        <f t="shared" si="11"/>
        <v/>
      </c>
      <c r="CM78" s="182" t="str">
        <f t="shared" si="11"/>
        <v/>
      </c>
      <c r="CN78" s="182" t="str">
        <f t="shared" si="11"/>
        <v/>
      </c>
      <c r="CO78" s="182" t="str">
        <f t="shared" si="11"/>
        <v/>
      </c>
      <c r="CP78" s="182" t="str">
        <f t="shared" si="11"/>
        <v/>
      </c>
      <c r="CQ78" s="182" t="str">
        <f t="shared" si="11"/>
        <v/>
      </c>
      <c r="CR78" s="182" t="str">
        <f t="shared" si="11"/>
        <v/>
      </c>
      <c r="CS78" s="182" t="str">
        <f t="shared" si="11"/>
        <v/>
      </c>
      <c r="CT78" s="182" t="str">
        <f t="shared" si="11"/>
        <v/>
      </c>
      <c r="CU78" s="182" t="str">
        <f t="shared" si="11"/>
        <v/>
      </c>
      <c r="CV78" s="182" t="str">
        <f t="shared" si="11"/>
        <v/>
      </c>
      <c r="CW78" s="182" t="str">
        <f t="shared" si="11"/>
        <v/>
      </c>
      <c r="CX78" s="182" t="str">
        <f t="shared" si="11"/>
        <v/>
      </c>
      <c r="CY78" s="182" t="str">
        <f t="shared" si="11"/>
        <v/>
      </c>
      <c r="CZ78" s="183">
        <f>IFERROR(SUM(E78:CY78)/SUMIF(E78:CY78,"&gt;=0",E15:CY15),"")</f>
        <v>0.7380806175037109</v>
      </c>
    </row>
    <row r="79" spans="1:105" s="176" customFormat="1" ht="18" x14ac:dyDescent="0.25">
      <c r="C79" s="1535"/>
      <c r="D79" s="174" t="s">
        <v>278</v>
      </c>
      <c r="E79" s="175">
        <f t="shared" ref="E79:AJ79" si="12">IFERROR(AVERAGE(E72:E73)*E15,"")</f>
        <v>5.7386587104026263E-2</v>
      </c>
      <c r="F79" s="175">
        <f t="shared" si="12"/>
        <v>8.2294176611982899E-3</v>
      </c>
      <c r="G79" s="175">
        <f t="shared" si="12"/>
        <v>3.3000868787358889E-2</v>
      </c>
      <c r="H79" s="175">
        <f t="shared" si="12"/>
        <v>0.23131593663892408</v>
      </c>
      <c r="I79" s="175">
        <f t="shared" si="12"/>
        <v>0.17346245916320924</v>
      </c>
      <c r="J79" s="175">
        <f t="shared" si="12"/>
        <v>7.2858801419815655E-2</v>
      </c>
      <c r="K79" s="175">
        <f t="shared" si="12"/>
        <v>0.15639453920410293</v>
      </c>
      <c r="L79" s="175" t="str">
        <f t="shared" si="12"/>
        <v/>
      </c>
      <c r="M79" s="175" t="str">
        <f t="shared" si="12"/>
        <v/>
      </c>
      <c r="N79" s="175" t="str">
        <f t="shared" si="12"/>
        <v/>
      </c>
      <c r="O79" s="175" t="str">
        <f t="shared" si="12"/>
        <v/>
      </c>
      <c r="P79" s="175" t="str">
        <f t="shared" si="12"/>
        <v/>
      </c>
      <c r="Q79" s="175" t="str">
        <f t="shared" si="12"/>
        <v/>
      </c>
      <c r="R79" s="175" t="str">
        <f t="shared" si="12"/>
        <v/>
      </c>
      <c r="S79" s="175" t="str">
        <f t="shared" si="12"/>
        <v/>
      </c>
      <c r="T79" s="175" t="str">
        <f t="shared" si="12"/>
        <v/>
      </c>
      <c r="U79" s="175" t="str">
        <f t="shared" si="12"/>
        <v/>
      </c>
      <c r="V79" s="175" t="str">
        <f t="shared" si="12"/>
        <v/>
      </c>
      <c r="W79" s="175" t="str">
        <f t="shared" si="12"/>
        <v/>
      </c>
      <c r="X79" s="175" t="str">
        <f t="shared" si="12"/>
        <v/>
      </c>
      <c r="Y79" s="175" t="str">
        <f t="shared" si="12"/>
        <v/>
      </c>
      <c r="Z79" s="175" t="str">
        <f t="shared" si="12"/>
        <v/>
      </c>
      <c r="AA79" s="175" t="str">
        <f t="shared" si="12"/>
        <v/>
      </c>
      <c r="AB79" s="175" t="str">
        <f t="shared" si="12"/>
        <v/>
      </c>
      <c r="AC79" s="175" t="str">
        <f t="shared" si="12"/>
        <v/>
      </c>
      <c r="AD79" s="175" t="str">
        <f t="shared" si="12"/>
        <v/>
      </c>
      <c r="AE79" s="175" t="str">
        <f t="shared" si="12"/>
        <v/>
      </c>
      <c r="AF79" s="175" t="str">
        <f t="shared" si="12"/>
        <v/>
      </c>
      <c r="AG79" s="175" t="str">
        <f t="shared" si="12"/>
        <v/>
      </c>
      <c r="AH79" s="175" t="str">
        <f t="shared" si="12"/>
        <v/>
      </c>
      <c r="AI79" s="175" t="str">
        <f t="shared" si="12"/>
        <v/>
      </c>
      <c r="AJ79" s="175" t="str">
        <f t="shared" si="12"/>
        <v/>
      </c>
      <c r="AK79" s="175" t="str">
        <f t="shared" ref="AK79:BP79" si="13">IFERROR(AVERAGE(AK72:AK73)*AK15,"")</f>
        <v/>
      </c>
      <c r="AL79" s="175" t="str">
        <f t="shared" si="13"/>
        <v/>
      </c>
      <c r="AM79" s="175" t="str">
        <f t="shared" si="13"/>
        <v/>
      </c>
      <c r="AN79" s="175" t="str">
        <f t="shared" si="13"/>
        <v/>
      </c>
      <c r="AO79" s="175" t="str">
        <f t="shared" si="13"/>
        <v/>
      </c>
      <c r="AP79" s="175" t="str">
        <f t="shared" si="13"/>
        <v/>
      </c>
      <c r="AQ79" s="175" t="str">
        <f t="shared" si="13"/>
        <v/>
      </c>
      <c r="AR79" s="175" t="str">
        <f t="shared" si="13"/>
        <v/>
      </c>
      <c r="AS79" s="175" t="str">
        <f t="shared" si="13"/>
        <v/>
      </c>
      <c r="AT79" s="175" t="str">
        <f t="shared" si="13"/>
        <v/>
      </c>
      <c r="AU79" s="175" t="str">
        <f t="shared" si="13"/>
        <v/>
      </c>
      <c r="AV79" s="175" t="str">
        <f t="shared" si="13"/>
        <v/>
      </c>
      <c r="AW79" s="175" t="str">
        <f t="shared" si="13"/>
        <v/>
      </c>
      <c r="AX79" s="175" t="str">
        <f t="shared" si="13"/>
        <v/>
      </c>
      <c r="AY79" s="175" t="str">
        <f t="shared" si="13"/>
        <v/>
      </c>
      <c r="AZ79" s="175" t="str">
        <f t="shared" si="13"/>
        <v/>
      </c>
      <c r="BA79" s="175" t="str">
        <f t="shared" si="13"/>
        <v/>
      </c>
      <c r="BB79" s="175" t="str">
        <f t="shared" si="13"/>
        <v/>
      </c>
      <c r="BC79" s="175" t="str">
        <f t="shared" si="13"/>
        <v/>
      </c>
      <c r="BD79" s="175" t="str">
        <f t="shared" si="13"/>
        <v/>
      </c>
      <c r="BE79" s="175" t="str">
        <f t="shared" si="13"/>
        <v/>
      </c>
      <c r="BF79" s="175" t="str">
        <f t="shared" si="13"/>
        <v/>
      </c>
      <c r="BG79" s="175" t="str">
        <f t="shared" si="13"/>
        <v/>
      </c>
      <c r="BH79" s="175" t="str">
        <f t="shared" si="13"/>
        <v/>
      </c>
      <c r="BI79" s="175" t="str">
        <f t="shared" si="13"/>
        <v/>
      </c>
      <c r="BJ79" s="175" t="str">
        <f t="shared" si="13"/>
        <v/>
      </c>
      <c r="BK79" s="175" t="str">
        <f t="shared" si="13"/>
        <v/>
      </c>
      <c r="BL79" s="175" t="str">
        <f t="shared" si="13"/>
        <v/>
      </c>
      <c r="BM79" s="175" t="str">
        <f t="shared" si="13"/>
        <v/>
      </c>
      <c r="BN79" s="175" t="str">
        <f t="shared" si="13"/>
        <v/>
      </c>
      <c r="BO79" s="175" t="str">
        <f t="shared" si="13"/>
        <v/>
      </c>
      <c r="BP79" s="175" t="str">
        <f t="shared" si="13"/>
        <v/>
      </c>
      <c r="BQ79" s="175" t="str">
        <f t="shared" ref="BQ79:CY79" si="14">IFERROR(AVERAGE(BQ72:BQ73)*BQ15,"")</f>
        <v/>
      </c>
      <c r="BR79" s="175" t="str">
        <f t="shared" si="14"/>
        <v/>
      </c>
      <c r="BS79" s="175" t="str">
        <f t="shared" si="14"/>
        <v/>
      </c>
      <c r="BT79" s="175" t="str">
        <f t="shared" si="14"/>
        <v/>
      </c>
      <c r="BU79" s="175" t="str">
        <f t="shared" si="14"/>
        <v/>
      </c>
      <c r="BV79" s="175" t="str">
        <f t="shared" si="14"/>
        <v/>
      </c>
      <c r="BW79" s="175" t="str">
        <f t="shared" si="14"/>
        <v/>
      </c>
      <c r="BX79" s="175" t="str">
        <f t="shared" si="14"/>
        <v/>
      </c>
      <c r="BY79" s="175" t="str">
        <f t="shared" si="14"/>
        <v/>
      </c>
      <c r="BZ79" s="175" t="str">
        <f t="shared" si="14"/>
        <v/>
      </c>
      <c r="CA79" s="175" t="str">
        <f t="shared" si="14"/>
        <v/>
      </c>
      <c r="CB79" s="175" t="str">
        <f t="shared" si="14"/>
        <v/>
      </c>
      <c r="CC79" s="175" t="str">
        <f t="shared" si="14"/>
        <v/>
      </c>
      <c r="CD79" s="175" t="str">
        <f t="shared" si="14"/>
        <v/>
      </c>
      <c r="CE79" s="175" t="str">
        <f t="shared" si="14"/>
        <v/>
      </c>
      <c r="CF79" s="175" t="str">
        <f t="shared" si="14"/>
        <v/>
      </c>
      <c r="CG79" s="175" t="str">
        <f t="shared" si="14"/>
        <v/>
      </c>
      <c r="CH79" s="175" t="str">
        <f t="shared" si="14"/>
        <v/>
      </c>
      <c r="CI79" s="175" t="str">
        <f t="shared" si="14"/>
        <v/>
      </c>
      <c r="CJ79" s="175" t="str">
        <f t="shared" si="14"/>
        <v/>
      </c>
      <c r="CK79" s="175" t="str">
        <f t="shared" si="14"/>
        <v/>
      </c>
      <c r="CL79" s="175" t="str">
        <f t="shared" si="14"/>
        <v/>
      </c>
      <c r="CM79" s="175" t="str">
        <f t="shared" si="14"/>
        <v/>
      </c>
      <c r="CN79" s="175" t="str">
        <f t="shared" si="14"/>
        <v/>
      </c>
      <c r="CO79" s="175" t="str">
        <f t="shared" si="14"/>
        <v/>
      </c>
      <c r="CP79" s="175" t="str">
        <f t="shared" si="14"/>
        <v/>
      </c>
      <c r="CQ79" s="175" t="str">
        <f t="shared" si="14"/>
        <v/>
      </c>
      <c r="CR79" s="175" t="str">
        <f t="shared" si="14"/>
        <v/>
      </c>
      <c r="CS79" s="175" t="str">
        <f t="shared" si="14"/>
        <v/>
      </c>
      <c r="CT79" s="175" t="str">
        <f t="shared" si="14"/>
        <v/>
      </c>
      <c r="CU79" s="175" t="str">
        <f t="shared" si="14"/>
        <v/>
      </c>
      <c r="CV79" s="175" t="str">
        <f t="shared" si="14"/>
        <v/>
      </c>
      <c r="CW79" s="175" t="str">
        <f t="shared" si="14"/>
        <v/>
      </c>
      <c r="CX79" s="175" t="str">
        <f t="shared" si="14"/>
        <v/>
      </c>
      <c r="CY79" s="175" t="str">
        <f t="shared" si="14"/>
        <v/>
      </c>
      <c r="CZ79" s="183">
        <f>IFERROR(AVERAGE(CZ76:CZ78),"")</f>
        <v>0.73445927915366049</v>
      </c>
    </row>
    <row r="80" spans="1:105" s="187" customFormat="1" ht="15" x14ac:dyDescent="0.25">
      <c r="C80" s="1541"/>
      <c r="D80" s="184"/>
      <c r="E80" s="185"/>
      <c r="F80" s="185"/>
      <c r="G80" s="185"/>
      <c r="H80" s="185"/>
      <c r="I80" s="185"/>
      <c r="J80" s="185"/>
      <c r="K80" s="185"/>
      <c r="L80" s="185"/>
      <c r="M80" s="185"/>
      <c r="N80" s="185"/>
      <c r="O80" s="185"/>
      <c r="P80" s="185"/>
      <c r="Q80" s="185"/>
      <c r="R80" s="185"/>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row>
    <row r="81" spans="1:104" s="180" customFormat="1" ht="29.25" customHeight="1" x14ac:dyDescent="0.25">
      <c r="B81" s="2676"/>
      <c r="C81" s="2676"/>
      <c r="D81" s="2676"/>
      <c r="E81" s="188"/>
      <c r="F81" s="188"/>
      <c r="G81" s="188"/>
      <c r="H81" s="188"/>
      <c r="I81" s="188"/>
      <c r="J81" s="188"/>
      <c r="K81" s="188"/>
      <c r="L81" s="188"/>
      <c r="M81" s="188"/>
      <c r="N81" s="188"/>
      <c r="O81" s="188"/>
      <c r="P81" s="188"/>
      <c r="Q81" s="188"/>
      <c r="R81" s="188"/>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row>
    <row r="82" spans="1:104" s="180" customFormat="1" x14ac:dyDescent="0.25">
      <c r="C82" s="181"/>
      <c r="E82" s="1143"/>
      <c r="F82" s="1143"/>
      <c r="G82" s="1143"/>
      <c r="H82" s="1143"/>
      <c r="I82" s="1143"/>
      <c r="J82" s="1143"/>
      <c r="K82" s="1143"/>
      <c r="L82" s="1143"/>
      <c r="M82" s="1143"/>
      <c r="N82" s="1143"/>
      <c r="O82" s="1143"/>
      <c r="P82" s="1143"/>
      <c r="Q82" s="1143"/>
      <c r="R82" s="1143"/>
      <c r="S82" s="1144"/>
      <c r="T82" s="1144"/>
      <c r="U82" s="1144"/>
      <c r="V82" s="1144"/>
      <c r="W82" s="1144"/>
      <c r="X82" s="1144"/>
      <c r="Y82" s="1144"/>
      <c r="Z82" s="1144"/>
      <c r="AA82" s="1144"/>
      <c r="AB82" s="1144"/>
      <c r="AC82" s="1144"/>
      <c r="AD82" s="1144"/>
      <c r="AE82" s="1144"/>
      <c r="AF82" s="1144"/>
      <c r="AG82" s="1144"/>
      <c r="AH82" s="1144"/>
      <c r="AI82" s="1144"/>
      <c r="AJ82" s="1144"/>
      <c r="AK82" s="1144"/>
      <c r="AL82" s="1144"/>
      <c r="AM82" s="1144"/>
      <c r="AN82" s="1144"/>
      <c r="AO82" s="1144"/>
      <c r="AP82" s="1144"/>
      <c r="AQ82" s="1144"/>
      <c r="AR82" s="1144"/>
      <c r="AS82" s="1144"/>
      <c r="AT82" s="1144"/>
      <c r="AU82" s="1144"/>
      <c r="AV82" s="1144"/>
      <c r="AW82" s="1144"/>
      <c r="AX82" s="1144"/>
      <c r="AY82" s="1144"/>
      <c r="AZ82" s="1144"/>
      <c r="BA82" s="1144"/>
      <c r="BB82" s="1144"/>
      <c r="BC82" s="1144"/>
      <c r="BD82" s="1144"/>
      <c r="BE82" s="1144"/>
    </row>
    <row r="83" spans="1:104" ht="18" hidden="1" x14ac:dyDescent="0.25">
      <c r="G83" s="91"/>
      <c r="H83" s="65"/>
      <c r="I83" s="65"/>
      <c r="J83" s="65"/>
      <c r="CZ83" s="170" t="str">
        <f>IFERROR((E83*$E$15+F83*$F$15+G83*$G$15+H83*$H$15+I83*$I$15+#REF!*#REF!/SUMIF(E83:CY83,"&gt;0",E24:CY24)),"")</f>
        <v/>
      </c>
    </row>
    <row r="84" spans="1:104" hidden="1" x14ac:dyDescent="0.25">
      <c r="G84" s="91"/>
      <c r="H84" s="65"/>
      <c r="I84" s="65"/>
      <c r="J84" s="65"/>
      <c r="L84" s="65"/>
    </row>
    <row r="85" spans="1:104" hidden="1" x14ac:dyDescent="0.25">
      <c r="D85" s="1145"/>
      <c r="G85" s="91"/>
      <c r="H85" s="65"/>
      <c r="I85" s="65"/>
      <c r="J85" s="65"/>
    </row>
    <row r="86" spans="1:104" hidden="1" x14ac:dyDescent="0.25"/>
    <row r="87" spans="1:104" hidden="1" x14ac:dyDescent="0.25"/>
    <row r="88" spans="1:104" hidden="1" x14ac:dyDescent="0.25"/>
    <row r="89" spans="1:104" hidden="1" x14ac:dyDescent="0.25">
      <c r="F89" s="191"/>
    </row>
    <row r="90" spans="1:104" hidden="1" x14ac:dyDescent="0.25">
      <c r="F90" s="191"/>
      <c r="G90" s="65"/>
      <c r="H90" s="65"/>
      <c r="I90" s="192"/>
      <c r="J90" s="192"/>
    </row>
    <row r="91" spans="1:104" ht="15" hidden="1" x14ac:dyDescent="0.25">
      <c r="B91" s="1146"/>
      <c r="F91" s="191"/>
      <c r="G91" s="93"/>
      <c r="H91" s="65"/>
      <c r="I91" s="192"/>
      <c r="J91" s="192"/>
    </row>
    <row r="92" spans="1:104" ht="15" hidden="1" x14ac:dyDescent="0.25">
      <c r="A92" s="201"/>
      <c r="B92" s="1147" t="s">
        <v>173</v>
      </c>
      <c r="C92" s="201"/>
      <c r="D92" s="201"/>
      <c r="E92" s="202"/>
      <c r="F92" s="203"/>
      <c r="G92" s="192"/>
      <c r="H92" s="192"/>
      <c r="I92" s="192"/>
      <c r="J92" s="192"/>
      <c r="K92" s="2677" t="s">
        <v>279</v>
      </c>
      <c r="L92" s="2677"/>
      <c r="M92" s="2677"/>
      <c r="N92" s="2677"/>
      <c r="O92" s="2677"/>
      <c r="P92" s="2677"/>
      <c r="Q92" s="2677"/>
    </row>
    <row r="93" spans="1:104" ht="15" hidden="1" x14ac:dyDescent="0.2">
      <c r="A93" s="201"/>
      <c r="B93" s="1147" t="s">
        <v>280</v>
      </c>
      <c r="C93" s="201"/>
      <c r="D93" s="201"/>
      <c r="E93" s="202"/>
      <c r="F93" s="202"/>
      <c r="G93" s="202"/>
      <c r="H93" s="202"/>
      <c r="I93" s="202"/>
      <c r="J93" s="202"/>
      <c r="K93" s="29"/>
      <c r="L93" s="2678" t="s">
        <v>281</v>
      </c>
      <c r="M93" s="2678"/>
      <c r="N93" s="2678"/>
      <c r="O93" s="2678"/>
      <c r="P93" s="2678"/>
      <c r="Q93" s="2678"/>
    </row>
    <row r="94" spans="1:104" ht="15" hidden="1" x14ac:dyDescent="0.25">
      <c r="A94" s="201"/>
      <c r="B94" s="1147" t="s">
        <v>282</v>
      </c>
      <c r="C94" s="201"/>
      <c r="D94" s="201"/>
      <c r="E94" s="202"/>
      <c r="F94" s="2679" t="s">
        <v>281</v>
      </c>
      <c r="G94" s="2680"/>
      <c r="H94" s="2681"/>
      <c r="I94" s="1148"/>
      <c r="J94" s="202"/>
      <c r="K94" s="1149"/>
      <c r="L94" s="2682" t="s">
        <v>165</v>
      </c>
      <c r="M94" s="2682"/>
      <c r="N94" s="2683" t="s">
        <v>166</v>
      </c>
      <c r="O94" s="2683"/>
      <c r="P94" s="2684" t="s">
        <v>167</v>
      </c>
      <c r="Q94" s="2684"/>
    </row>
    <row r="95" spans="1:104" ht="15" hidden="1" x14ac:dyDescent="0.25">
      <c r="A95" s="201"/>
      <c r="B95" s="204"/>
      <c r="C95" s="201"/>
      <c r="D95" s="201"/>
      <c r="E95" s="1150" t="s">
        <v>200</v>
      </c>
      <c r="F95" s="1151" t="s">
        <v>165</v>
      </c>
      <c r="G95" s="1151" t="s">
        <v>166</v>
      </c>
      <c r="H95" s="1152" t="s">
        <v>167</v>
      </c>
      <c r="I95" s="1153" t="s">
        <v>283</v>
      </c>
      <c r="J95" s="202"/>
      <c r="K95" s="1150" t="s">
        <v>200</v>
      </c>
      <c r="L95" s="1154" t="s">
        <v>284</v>
      </c>
      <c r="M95" s="1154" t="s">
        <v>285</v>
      </c>
      <c r="N95" s="1155" t="s">
        <v>284</v>
      </c>
      <c r="O95" s="1155" t="s">
        <v>285</v>
      </c>
      <c r="P95" s="1156" t="s">
        <v>284</v>
      </c>
      <c r="Q95" s="1156" t="s">
        <v>285</v>
      </c>
    </row>
    <row r="96" spans="1:104" hidden="1" x14ac:dyDescent="0.25">
      <c r="A96" s="201"/>
      <c r="B96" s="204"/>
      <c r="C96" s="201"/>
      <c r="D96" s="201"/>
      <c r="E96" s="1157" t="s">
        <v>286</v>
      </c>
      <c r="F96" s="1158">
        <v>0</v>
      </c>
      <c r="G96" s="1158">
        <v>0</v>
      </c>
      <c r="H96" s="1158">
        <v>0</v>
      </c>
      <c r="I96" s="1153" t="s">
        <v>286</v>
      </c>
      <c r="J96" s="202"/>
      <c r="K96" s="1157" t="s">
        <v>288</v>
      </c>
      <c r="L96" s="1159">
        <v>1</v>
      </c>
      <c r="M96" s="1160">
        <v>0.7</v>
      </c>
      <c r="N96" s="1161">
        <v>1</v>
      </c>
      <c r="O96" s="1162">
        <f>ParaminMedia</f>
        <v>0.75</v>
      </c>
      <c r="P96" s="1163">
        <v>1</v>
      </c>
      <c r="Q96" s="1164">
        <f>ParaminAlta</f>
        <v>0.8</v>
      </c>
    </row>
    <row r="97" spans="1:17" hidden="1" x14ac:dyDescent="0.25">
      <c r="A97" s="201"/>
      <c r="B97" s="201"/>
      <c r="C97" s="201"/>
      <c r="D97" s="201"/>
      <c r="E97" s="1165" t="s">
        <v>289</v>
      </c>
      <c r="F97" s="1158">
        <f>F98-5%</f>
        <v>0.64999999999999991</v>
      </c>
      <c r="G97" s="1158">
        <f>G98-5%</f>
        <v>0.7</v>
      </c>
      <c r="H97" s="1158">
        <f>H98-5%</f>
        <v>0.75</v>
      </c>
      <c r="I97" s="1153" t="s">
        <v>289</v>
      </c>
      <c r="J97" s="202"/>
      <c r="K97" s="1165" t="s">
        <v>290</v>
      </c>
      <c r="L97" s="1166">
        <v>0.69989999999999997</v>
      </c>
      <c r="M97" s="1160">
        <v>0.65</v>
      </c>
      <c r="N97" s="1167">
        <v>0.74990000000000001</v>
      </c>
      <c r="O97" s="1162">
        <v>0.7</v>
      </c>
      <c r="P97" s="1168">
        <v>0.79990000000000006</v>
      </c>
      <c r="Q97" s="1164">
        <v>0.75</v>
      </c>
    </row>
    <row r="98" spans="1:17" hidden="1" x14ac:dyDescent="0.25">
      <c r="A98" s="201"/>
      <c r="B98" s="201"/>
      <c r="C98" s="201"/>
      <c r="D98" s="201"/>
      <c r="E98" s="1157" t="s">
        <v>291</v>
      </c>
      <c r="F98" s="1158">
        <f>ParaminBaja</f>
        <v>0.7</v>
      </c>
      <c r="G98" s="1158">
        <f>ParaminMedia</f>
        <v>0.75</v>
      </c>
      <c r="H98" s="1158">
        <f>ParaminAlta</f>
        <v>0.8</v>
      </c>
      <c r="I98" s="1153" t="s">
        <v>291</v>
      </c>
      <c r="J98" s="202"/>
      <c r="K98" s="1157" t="s">
        <v>287</v>
      </c>
      <c r="L98" s="1166">
        <v>0.64990000000000003</v>
      </c>
      <c r="M98" s="1160">
        <v>0</v>
      </c>
      <c r="N98" s="1167">
        <v>0.69989999999999997</v>
      </c>
      <c r="O98" s="1162">
        <v>0</v>
      </c>
      <c r="P98" s="1168">
        <v>0.74990000000000001</v>
      </c>
      <c r="Q98" s="1164">
        <v>0</v>
      </c>
    </row>
    <row r="99" spans="1:17" ht="17.25" hidden="1" customHeight="1" x14ac:dyDescent="0.25">
      <c r="A99" s="201"/>
      <c r="B99" s="201"/>
      <c r="C99" s="201"/>
      <c r="D99" s="201"/>
      <c r="E99" s="202"/>
      <c r="F99" s="202"/>
      <c r="G99" s="202"/>
      <c r="H99" s="202"/>
      <c r="I99" s="202"/>
      <c r="J99" s="202"/>
      <c r="K99" s="202"/>
      <c r="L99" s="202"/>
      <c r="M99" s="202"/>
      <c r="N99" s="202"/>
      <c r="O99" s="202"/>
      <c r="P99" s="202"/>
      <c r="Q99" s="202"/>
    </row>
    <row r="100" spans="1:17" ht="15" hidden="1" thickBot="1" x14ac:dyDescent="0.3">
      <c r="A100" s="201"/>
      <c r="B100" s="201"/>
      <c r="C100" s="201"/>
      <c r="D100" s="201"/>
      <c r="E100" s="202"/>
      <c r="F100" s="1169"/>
      <c r="G100" s="2685" t="s">
        <v>457</v>
      </c>
      <c r="H100" s="2686"/>
      <c r="I100" s="2687"/>
      <c r="J100" s="192"/>
      <c r="K100" s="202"/>
      <c r="L100" s="202"/>
      <c r="M100" s="202"/>
      <c r="N100" s="202"/>
      <c r="O100" s="202"/>
      <c r="P100" s="202"/>
      <c r="Q100" s="202"/>
    </row>
    <row r="101" spans="1:17" ht="26.25" hidden="1" thickBot="1" x14ac:dyDescent="0.3">
      <c r="A101" s="201"/>
      <c r="B101" s="201"/>
      <c r="C101" s="201"/>
      <c r="D101" s="201"/>
      <c r="E101" s="202"/>
      <c r="F101" s="1170" t="s">
        <v>292</v>
      </c>
      <c r="G101" s="1171" t="s">
        <v>165</v>
      </c>
      <c r="H101" s="1171" t="s">
        <v>166</v>
      </c>
      <c r="I101" s="1172" t="s">
        <v>167</v>
      </c>
      <c r="J101" s="202"/>
      <c r="K101" s="202"/>
      <c r="L101" s="202"/>
      <c r="M101" s="202"/>
      <c r="N101" s="202"/>
      <c r="O101" s="202"/>
      <c r="P101" s="202"/>
      <c r="Q101" s="202"/>
    </row>
    <row r="102" spans="1:17" ht="20.25" hidden="1" customHeight="1" thickBot="1" x14ac:dyDescent="0.3">
      <c r="A102" s="201"/>
      <c r="B102" s="201"/>
      <c r="C102" s="201"/>
      <c r="D102" s="201"/>
      <c r="E102" s="2688" t="s">
        <v>293</v>
      </c>
      <c r="F102" s="1173" t="s">
        <v>294</v>
      </c>
      <c r="G102" s="1174">
        <v>0.7</v>
      </c>
      <c r="H102" s="1174">
        <v>0.7</v>
      </c>
      <c r="I102" s="1174">
        <v>0.7</v>
      </c>
      <c r="J102" s="202"/>
      <c r="K102" s="202"/>
      <c r="L102" s="202"/>
      <c r="M102" s="202"/>
      <c r="N102" s="202"/>
      <c r="O102" s="202"/>
      <c r="P102" s="202"/>
      <c r="Q102" s="202"/>
    </row>
    <row r="103" spans="1:17" ht="26.25" hidden="1" thickBot="1" x14ac:dyDescent="0.3">
      <c r="A103" s="201"/>
      <c r="B103" s="203"/>
      <c r="C103" s="203"/>
      <c r="D103" s="203"/>
      <c r="E103" s="2689"/>
      <c r="F103" s="1173" t="s">
        <v>295</v>
      </c>
      <c r="G103" s="1174">
        <v>0.7</v>
      </c>
      <c r="H103" s="1174">
        <v>0.7</v>
      </c>
      <c r="I103" s="1174">
        <v>0.7</v>
      </c>
      <c r="J103" s="202"/>
      <c r="K103" s="1175"/>
      <c r="L103" s="202"/>
      <c r="M103" s="202"/>
      <c r="N103" s="202"/>
      <c r="O103" s="202"/>
      <c r="P103" s="202"/>
      <c r="Q103" s="202"/>
    </row>
    <row r="104" spans="1:17" ht="29.25" hidden="1" customHeight="1" thickBot="1" x14ac:dyDescent="0.3">
      <c r="A104" s="201"/>
      <c r="B104" s="203"/>
      <c r="C104" s="203"/>
      <c r="D104" s="203"/>
      <c r="E104" s="2689"/>
      <c r="F104" s="1173" t="s">
        <v>296</v>
      </c>
      <c r="G104" s="1174">
        <v>0.7</v>
      </c>
      <c r="H104" s="1174">
        <v>0.7</v>
      </c>
      <c r="I104" s="1174">
        <v>0.7</v>
      </c>
      <c r="J104" s="202"/>
      <c r="K104" s="1176"/>
      <c r="L104" s="202"/>
      <c r="M104" s="202"/>
      <c r="N104" s="202"/>
      <c r="O104" s="202"/>
      <c r="P104" s="202"/>
      <c r="Q104" s="202"/>
    </row>
    <row r="105" spans="1:17" ht="26.25" hidden="1" thickBot="1" x14ac:dyDescent="0.3">
      <c r="A105" s="201"/>
      <c r="B105" s="203"/>
      <c r="C105" s="203"/>
      <c r="D105" s="203"/>
      <c r="E105" s="2690"/>
      <c r="F105" s="1173" t="s">
        <v>298</v>
      </c>
      <c r="G105" s="1174">
        <v>0.7</v>
      </c>
      <c r="H105" s="1174">
        <v>0.7</v>
      </c>
      <c r="I105" s="1174">
        <v>0.7</v>
      </c>
      <c r="J105" s="202"/>
      <c r="K105" s="1176"/>
      <c r="L105" s="202"/>
      <c r="M105" s="202"/>
      <c r="N105" s="202"/>
      <c r="O105" s="202"/>
      <c r="P105" s="202"/>
      <c r="Q105" s="202"/>
    </row>
    <row r="106" spans="1:17" ht="15" hidden="1" thickBot="1" x14ac:dyDescent="0.3">
      <c r="A106" s="201"/>
      <c r="B106" s="201"/>
      <c r="C106" s="203"/>
      <c r="D106" s="203"/>
      <c r="E106" s="2674" t="s">
        <v>297</v>
      </c>
      <c r="F106" s="1173" t="s">
        <v>202</v>
      </c>
      <c r="G106" s="1174">
        <v>0.8</v>
      </c>
      <c r="H106" s="1174">
        <v>0.8</v>
      </c>
      <c r="I106" s="1174">
        <v>0.8</v>
      </c>
      <c r="J106" s="202"/>
      <c r="K106" s="202"/>
      <c r="L106" s="202"/>
      <c r="M106" s="202"/>
      <c r="N106" s="202"/>
      <c r="O106" s="202"/>
      <c r="P106" s="202"/>
      <c r="Q106" s="202"/>
    </row>
    <row r="107" spans="1:17" ht="26.25" hidden="1" thickBot="1" x14ac:dyDescent="0.3">
      <c r="A107" s="201"/>
      <c r="B107" s="201"/>
      <c r="C107" s="204"/>
      <c r="D107" s="201"/>
      <c r="E107" s="2675"/>
      <c r="F107" s="1173" t="s">
        <v>299</v>
      </c>
      <c r="G107" s="1174">
        <v>0.8</v>
      </c>
      <c r="H107" s="1174">
        <v>0.8</v>
      </c>
      <c r="I107" s="1174">
        <v>0.8</v>
      </c>
      <c r="J107" s="202"/>
      <c r="K107" s="202"/>
      <c r="L107" s="202"/>
      <c r="M107" s="202"/>
      <c r="N107" s="202"/>
      <c r="O107" s="202"/>
      <c r="P107" s="202"/>
      <c r="Q107" s="202"/>
    </row>
    <row r="108" spans="1:17" ht="15" hidden="1" thickBot="1" x14ac:dyDescent="0.3">
      <c r="A108" s="201"/>
      <c r="B108" s="201"/>
      <c r="C108" s="204"/>
      <c r="D108" s="201"/>
      <c r="E108" s="2675"/>
      <c r="F108" s="1173" t="s">
        <v>204</v>
      </c>
      <c r="G108" s="1174">
        <v>0.8</v>
      </c>
      <c r="H108" s="1174">
        <v>0.8</v>
      </c>
      <c r="I108" s="1174">
        <v>0.8</v>
      </c>
      <c r="J108" s="202"/>
      <c r="K108" s="202"/>
      <c r="L108" s="202"/>
      <c r="M108" s="202"/>
      <c r="N108" s="202"/>
      <c r="O108" s="202"/>
      <c r="P108" s="202"/>
      <c r="Q108" s="202"/>
    </row>
    <row r="109" spans="1:17" ht="15" hidden="1" thickBot="1" x14ac:dyDescent="0.3">
      <c r="A109" s="201"/>
      <c r="B109" s="201"/>
      <c r="C109" s="204"/>
      <c r="D109" s="201"/>
      <c r="E109" s="2675"/>
      <c r="F109" s="1173" t="s">
        <v>205</v>
      </c>
      <c r="G109" s="1174">
        <v>0.9</v>
      </c>
      <c r="H109" s="1174">
        <v>0.9</v>
      </c>
      <c r="I109" s="1174">
        <v>0.9</v>
      </c>
      <c r="J109" s="202"/>
      <c r="K109" s="202"/>
      <c r="L109" s="202"/>
      <c r="M109" s="202"/>
      <c r="N109" s="202"/>
      <c r="O109" s="202"/>
      <c r="P109" s="202"/>
      <c r="Q109" s="202"/>
    </row>
    <row r="110" spans="1:17" hidden="1" x14ac:dyDescent="0.25">
      <c r="A110" s="201"/>
      <c r="B110" s="201"/>
      <c r="C110" s="204"/>
      <c r="D110" s="201"/>
      <c r="E110" s="2675"/>
      <c r="F110" s="1177" t="s">
        <v>203</v>
      </c>
      <c r="G110" s="1178">
        <v>1</v>
      </c>
      <c r="H110" s="1178">
        <v>1</v>
      </c>
      <c r="I110" s="1178">
        <v>1</v>
      </c>
      <c r="J110" s="202"/>
      <c r="K110" s="202"/>
      <c r="L110" s="202"/>
      <c r="M110" s="202"/>
      <c r="N110" s="202"/>
      <c r="O110" s="202"/>
      <c r="P110" s="202"/>
      <c r="Q110" s="202"/>
    </row>
    <row r="111" spans="1:17" hidden="1" x14ac:dyDescent="0.25">
      <c r="I111" s="1179"/>
    </row>
    <row r="112" spans="1:17" hidden="1" x14ac:dyDescent="0.25"/>
    <row r="113" spans="5:5" hidden="1" x14ac:dyDescent="0.25"/>
    <row r="114" spans="5:5" hidden="1" x14ac:dyDescent="0.25"/>
    <row r="115" spans="5:5" hidden="1" x14ac:dyDescent="0.25">
      <c r="E115" s="160" t="s">
        <v>187</v>
      </c>
    </row>
    <row r="116" spans="5:5" hidden="1" x14ac:dyDescent="0.25">
      <c r="E116" s="160" t="s">
        <v>193</v>
      </c>
    </row>
    <row r="117" spans="5:5" ht="15" hidden="1" thickBot="1" x14ac:dyDescent="0.3">
      <c r="E117" s="165" t="s">
        <v>195</v>
      </c>
    </row>
    <row r="118" spans="5:5" hidden="1" x14ac:dyDescent="0.25"/>
    <row r="119" spans="5:5" hidden="1" x14ac:dyDescent="0.25"/>
    <row r="120" spans="5:5" hidden="1" x14ac:dyDescent="0.25"/>
    <row r="121" spans="5:5" hidden="1" x14ac:dyDescent="0.25"/>
    <row r="122" spans="5:5" hidden="1" x14ac:dyDescent="0.25"/>
    <row r="123" spans="5:5" hidden="1" x14ac:dyDescent="0.25"/>
    <row r="124" spans="5:5" hidden="1" x14ac:dyDescent="0.25"/>
    <row r="125" spans="5:5" hidden="1" x14ac:dyDescent="0.25"/>
    <row r="126" spans="5:5" hidden="1" x14ac:dyDescent="0.25"/>
    <row r="127" spans="5:5" hidden="1" x14ac:dyDescent="0.25"/>
    <row r="128" spans="5:5" hidden="1" x14ac:dyDescent="0.25"/>
    <row r="129" hidden="1" x14ac:dyDescent="0.25"/>
    <row r="65297" spans="4:4" x14ac:dyDescent="0.25">
      <c r="D65297" s="193"/>
    </row>
    <row r="65371" spans="1:5" x14ac:dyDescent="0.25">
      <c r="A65371" s="160" t="s">
        <v>187</v>
      </c>
      <c r="B65371" s="201"/>
      <c r="C65371" s="204"/>
      <c r="D65371" s="201"/>
      <c r="E65371" s="202"/>
    </row>
    <row r="65372" spans="1:5" x14ac:dyDescent="0.25">
      <c r="A65372" s="160" t="s">
        <v>193</v>
      </c>
      <c r="B65372" s="201"/>
      <c r="C65372" s="204"/>
      <c r="D65372" s="201"/>
      <c r="E65372" s="202"/>
    </row>
    <row r="65373" spans="1:5" ht="15" thickBot="1" x14ac:dyDescent="0.3">
      <c r="A65373" s="165" t="s">
        <v>195</v>
      </c>
      <c r="B65373" s="201"/>
      <c r="C65373" s="204"/>
      <c r="D65373" s="201"/>
      <c r="E65373" s="202"/>
    </row>
    <row r="65374" spans="1:5" x14ac:dyDescent="0.25">
      <c r="A65374" s="201"/>
      <c r="B65374" s="201"/>
      <c r="C65374" s="204"/>
      <c r="D65374" s="201"/>
      <c r="E65374" s="202"/>
    </row>
    <row r="65375" spans="1:5" x14ac:dyDescent="0.25">
      <c r="A65375" s="205"/>
      <c r="B65375" s="206"/>
      <c r="C65375" s="204"/>
      <c r="D65375" s="201"/>
      <c r="E65375" s="202"/>
    </row>
    <row r="65376" spans="1:5" x14ac:dyDescent="0.25">
      <c r="A65376" s="207"/>
      <c r="B65376" s="206"/>
      <c r="C65376" s="204"/>
      <c r="D65376" s="201"/>
      <c r="E65376" s="202"/>
    </row>
    <row r="65377" spans="1:5" x14ac:dyDescent="0.25">
      <c r="A65377" s="207"/>
      <c r="B65377" s="206"/>
      <c r="C65377" s="204"/>
      <c r="D65377" s="201"/>
      <c r="E65377" s="202"/>
    </row>
    <row r="65378" spans="1:5" x14ac:dyDescent="0.25">
      <c r="A65378" s="208" t="s">
        <v>300</v>
      </c>
      <c r="B65378" s="206"/>
      <c r="C65378" s="204"/>
      <c r="D65378" s="201"/>
      <c r="E65378" s="202"/>
    </row>
    <row r="65379" spans="1:5" ht="25.5" x14ac:dyDescent="0.25">
      <c r="A65379" s="208" t="s">
        <v>301</v>
      </c>
      <c r="B65379" s="206"/>
      <c r="C65379" s="209" t="s">
        <v>302</v>
      </c>
      <c r="D65379" s="210" t="s">
        <v>303</v>
      </c>
      <c r="E65379" s="211" t="s">
        <v>304</v>
      </c>
    </row>
    <row r="65380" spans="1:5" ht="25.5" x14ac:dyDescent="0.25">
      <c r="A65380" s="212" t="s">
        <v>305</v>
      </c>
      <c r="B65380" s="206"/>
      <c r="C65380" s="213">
        <v>100000</v>
      </c>
      <c r="D65380" s="214" t="s">
        <v>306</v>
      </c>
      <c r="E65380" s="203" t="str">
        <f>CONCATENATE(Dependencias[[#This Row],[CÓDIGO]]," - ",Dependencias[[#This Row],[DEPENDENCIA]])</f>
        <v xml:space="preserve">100000 - DIRECCIÓN SECTOR SALUD </v>
      </c>
    </row>
    <row r="65381" spans="1:5" x14ac:dyDescent="0.25">
      <c r="A65381" s="212" t="s">
        <v>307</v>
      </c>
      <c r="B65381" s="206"/>
      <c r="C65381" s="215">
        <v>110000</v>
      </c>
      <c r="D65381" s="216" t="s">
        <v>308</v>
      </c>
      <c r="E65381" s="203" t="str">
        <f>CONCATENATE(Dependencias[[#This Row],[CÓDIGO]]," - ",Dependencias[[#This Row],[DEPENDENCIA]])</f>
        <v xml:space="preserve">110000 - DIRECCIÓN SECTOR GOBIERNO </v>
      </c>
    </row>
    <row r="65382" spans="1:5" x14ac:dyDescent="0.25">
      <c r="A65382" s="212" t="s">
        <v>309</v>
      </c>
      <c r="B65382" s="206"/>
      <c r="C65382" s="213">
        <v>12000</v>
      </c>
      <c r="D65382" s="214" t="s">
        <v>310</v>
      </c>
      <c r="E65382" s="203" t="str">
        <f>CONCATENATE(Dependencias[[#This Row],[CÓDIGO]]," - ",Dependencias[[#This Row],[DEPENDENCIA]])</f>
        <v xml:space="preserve">12000 - DIRECCIÓN DE PARTICIPACIÓN CIUDADANA Y DESARROLLO LOCAL </v>
      </c>
    </row>
    <row r="65383" spans="1:5" ht="25.5" x14ac:dyDescent="0.25">
      <c r="A65383" s="212" t="s">
        <v>311</v>
      </c>
      <c r="B65383" s="206"/>
      <c r="C65383" s="213">
        <v>120000</v>
      </c>
      <c r="D65383" s="214" t="s">
        <v>312</v>
      </c>
      <c r="E65383" s="203" t="str">
        <f>CONCATENATE(Dependencias[[#This Row],[CÓDIGO]]," - ",Dependencias[[#This Row],[DEPENDENCIA]])</f>
        <v xml:space="preserve">120000 - DIRECCIÓN SECTOR EQUIDAD Y GÉNERO </v>
      </c>
    </row>
    <row r="65384" spans="1:5" x14ac:dyDescent="0.25">
      <c r="A65384" s="212" t="s">
        <v>313</v>
      </c>
      <c r="B65384" s="201"/>
      <c r="C65384" s="215">
        <v>12101</v>
      </c>
      <c r="D65384" s="216" t="s">
        <v>314</v>
      </c>
      <c r="E65384" s="203" t="str">
        <f>CONCATENATE(Dependencias[[#This Row],[CÓDIGO]]," - ",Dependencias[[#This Row],[DEPENDENCIA]])</f>
        <v>12101 - GERENCIA LOCAL USAQUÉN</v>
      </c>
    </row>
    <row r="65385" spans="1:5" ht="25.5" x14ac:dyDescent="0.25">
      <c r="A65385" s="212" t="s">
        <v>315</v>
      </c>
      <c r="B65385" s="201"/>
      <c r="C65385" s="213">
        <v>12102</v>
      </c>
      <c r="D65385" s="214" t="s">
        <v>316</v>
      </c>
      <c r="E65385" s="203" t="str">
        <f>CONCATENATE(Dependencias[[#This Row],[CÓDIGO]]," - ",Dependencias[[#This Row],[DEPENDENCIA]])</f>
        <v xml:space="preserve">12102 - GERENCIA LOCAL CHAPINERO </v>
      </c>
    </row>
    <row r="65386" spans="1:5" ht="25.5" x14ac:dyDescent="0.25">
      <c r="A65386" s="212" t="s">
        <v>317</v>
      </c>
      <c r="B65386" s="201"/>
      <c r="C65386" s="215">
        <v>12103</v>
      </c>
      <c r="D65386" s="216" t="s">
        <v>318</v>
      </c>
      <c r="E65386" s="203" t="str">
        <f>CONCATENATE(Dependencias[[#This Row],[CÓDIGO]]," - ",Dependencias[[#This Row],[DEPENDENCIA]])</f>
        <v>12103 - GERENCIA LOCAL SANTAFÉ</v>
      </c>
    </row>
    <row r="65387" spans="1:5" ht="25.5" x14ac:dyDescent="0.25">
      <c r="A65387" s="212" t="s">
        <v>319</v>
      </c>
      <c r="B65387" s="201"/>
      <c r="C65387" s="213">
        <v>12104</v>
      </c>
      <c r="D65387" s="214" t="s">
        <v>320</v>
      </c>
      <c r="E65387" s="203" t="str">
        <f>CONCATENATE(Dependencias[[#This Row],[CÓDIGO]]," - ",Dependencias[[#This Row],[DEPENDENCIA]])</f>
        <v xml:space="preserve">12104 - GERENCIA LOCAL SAN CRISTÓBAL </v>
      </c>
    </row>
    <row r="65388" spans="1:5" ht="63.75" x14ac:dyDescent="0.25">
      <c r="A65388" s="217" t="s">
        <v>321</v>
      </c>
      <c r="B65388" s="201"/>
      <c r="C65388" s="215">
        <v>12105</v>
      </c>
      <c r="D65388" s="216" t="s">
        <v>322</v>
      </c>
      <c r="E65388" s="203" t="str">
        <f>CONCATENATE(Dependencias[[#This Row],[CÓDIGO]]," - ",Dependencias[[#This Row],[DEPENDENCIA]])</f>
        <v xml:space="preserve">12105 - GERENCIA LOCAL USME </v>
      </c>
    </row>
    <row r="65389" spans="1:5" ht="25.5" x14ac:dyDescent="0.25">
      <c r="A65389" s="212" t="s">
        <v>323</v>
      </c>
      <c r="B65389" s="201"/>
      <c r="C65389" s="213">
        <v>12106</v>
      </c>
      <c r="D65389" s="214" t="s">
        <v>324</v>
      </c>
      <c r="E65389" s="203" t="str">
        <f>CONCATENATE(Dependencias[[#This Row],[CÓDIGO]]," - ",Dependencias[[#This Row],[DEPENDENCIA]])</f>
        <v xml:space="preserve">12106 - GERENCIA LOCAL TUNJUELLTO </v>
      </c>
    </row>
    <row r="65390" spans="1:5" ht="25.5" x14ac:dyDescent="0.25">
      <c r="A65390" s="212" t="s">
        <v>325</v>
      </c>
      <c r="B65390" s="201"/>
      <c r="C65390" s="215">
        <v>12107</v>
      </c>
      <c r="D65390" s="216" t="s">
        <v>326</v>
      </c>
      <c r="E65390" s="203" t="str">
        <f>CONCATENATE(Dependencias[[#This Row],[CÓDIGO]]," - ",Dependencias[[#This Row],[DEPENDENCIA]])</f>
        <v xml:space="preserve">12107 - GERENCIA LOCAL BOSA </v>
      </c>
    </row>
    <row r="65391" spans="1:5" ht="25.5" x14ac:dyDescent="0.25">
      <c r="A65391" s="212" t="s">
        <v>327</v>
      </c>
      <c r="B65391" s="201"/>
      <c r="C65391" s="213">
        <v>12108</v>
      </c>
      <c r="D65391" s="214" t="s">
        <v>328</v>
      </c>
      <c r="E65391" s="203" t="str">
        <f>CONCATENATE(Dependencias[[#This Row],[CÓDIGO]]," - ",Dependencias[[#This Row],[DEPENDENCIA]])</f>
        <v xml:space="preserve">12108 - GERENCIA LOCAL KENNEDY </v>
      </c>
    </row>
    <row r="65392" spans="1:5" ht="25.5" x14ac:dyDescent="0.25">
      <c r="A65392" s="212" t="s">
        <v>329</v>
      </c>
      <c r="B65392" s="201"/>
      <c r="C65392" s="215">
        <v>12109</v>
      </c>
      <c r="D65392" s="216" t="s">
        <v>330</v>
      </c>
      <c r="E65392" s="203" t="str">
        <f>CONCATENATE(Dependencias[[#This Row],[CÓDIGO]]," - ",Dependencias[[#This Row],[DEPENDENCIA]])</f>
        <v xml:space="preserve">12109 - GERENCIA LOCAL FONTIBÓN </v>
      </c>
    </row>
    <row r="65393" spans="1:5" ht="25.5" x14ac:dyDescent="0.25">
      <c r="A65393" s="212" t="s">
        <v>331</v>
      </c>
      <c r="B65393" s="201"/>
      <c r="C65393" s="213">
        <v>12110</v>
      </c>
      <c r="D65393" s="214" t="s">
        <v>332</v>
      </c>
      <c r="E65393" s="203" t="str">
        <f>CONCATENATE(Dependencias[[#This Row],[CÓDIGO]]," - ",Dependencias[[#This Row],[DEPENDENCIA]])</f>
        <v xml:space="preserve">12110 - GERENCIA LOCAL ENGATIVÁ </v>
      </c>
    </row>
    <row r="65394" spans="1:5" ht="25.5" x14ac:dyDescent="0.25">
      <c r="A65394" s="212" t="s">
        <v>333</v>
      </c>
      <c r="B65394" s="201"/>
      <c r="C65394" s="215">
        <v>12111</v>
      </c>
      <c r="D65394" s="216" t="s">
        <v>334</v>
      </c>
      <c r="E65394" s="203" t="str">
        <f>CONCATENATE(Dependencias[[#This Row],[CÓDIGO]]," - ",Dependencias[[#This Row],[DEPENDENCIA]])</f>
        <v xml:space="preserve">12111 - GERENCIA LOCAL SUBA </v>
      </c>
    </row>
    <row r="65395" spans="1:5" ht="25.5" x14ac:dyDescent="0.25">
      <c r="A65395" s="212" t="s">
        <v>335</v>
      </c>
      <c r="B65395" s="201"/>
      <c r="C65395" s="213">
        <v>12112</v>
      </c>
      <c r="D65395" s="214" t="s">
        <v>336</v>
      </c>
      <c r="E65395" s="203" t="str">
        <f>CONCATENATE(Dependencias[[#This Row],[CÓDIGO]]," - ",Dependencias[[#This Row],[DEPENDENCIA]])</f>
        <v xml:space="preserve">12112 - GERENCIA LOCAL BARRIOS UNIDOS </v>
      </c>
    </row>
    <row r="65396" spans="1:5" ht="25.5" x14ac:dyDescent="0.25">
      <c r="A65396" s="212" t="s">
        <v>337</v>
      </c>
      <c r="B65396" s="201"/>
      <c r="C65396" s="215">
        <v>12113</v>
      </c>
      <c r="D65396" s="216" t="s">
        <v>338</v>
      </c>
      <c r="E65396" s="203" t="str">
        <f>CONCATENATE(Dependencias[[#This Row],[CÓDIGO]]," - ",Dependencias[[#This Row],[DEPENDENCIA]])</f>
        <v xml:space="preserve">12113 - GERENCIA LOCAL TEUSAQUILLO </v>
      </c>
    </row>
    <row r="65397" spans="1:5" ht="25.5" x14ac:dyDescent="0.25">
      <c r="A65397" s="212" t="s">
        <v>339</v>
      </c>
      <c r="B65397" s="201"/>
      <c r="C65397" s="213">
        <v>12114</v>
      </c>
      <c r="D65397" s="214" t="s">
        <v>340</v>
      </c>
      <c r="E65397" s="203" t="str">
        <f>CONCATENATE(Dependencias[[#This Row],[CÓDIGO]]," - ",Dependencias[[#This Row],[DEPENDENCIA]])</f>
        <v xml:space="preserve">12114 - GERENCIA LOCAL MÁRTIRES </v>
      </c>
    </row>
    <row r="65398" spans="1:5" ht="25.5" x14ac:dyDescent="0.25">
      <c r="A65398" s="212" t="s">
        <v>341</v>
      </c>
      <c r="B65398" s="201"/>
      <c r="C65398" s="215">
        <v>12115</v>
      </c>
      <c r="D65398" s="216" t="s">
        <v>342</v>
      </c>
      <c r="E65398" s="203" t="str">
        <f>CONCATENATE(Dependencias[[#This Row],[CÓDIGO]]," - ",Dependencias[[#This Row],[DEPENDENCIA]])</f>
        <v>12115 - GERENCIA LOCAL ANTONIO NARIÑO</v>
      </c>
    </row>
    <row r="65399" spans="1:5" ht="25.5" x14ac:dyDescent="0.25">
      <c r="A65399" s="212" t="s">
        <v>343</v>
      </c>
      <c r="B65399" s="201"/>
      <c r="C65399" s="213">
        <v>12116</v>
      </c>
      <c r="D65399" s="214" t="s">
        <v>344</v>
      </c>
      <c r="E65399" s="203" t="str">
        <f>CONCATENATE(Dependencias[[#This Row],[CÓDIGO]]," - ",Dependencias[[#This Row],[DEPENDENCIA]])</f>
        <v xml:space="preserve">12116 - GERENCIA LOCAL PUENTE ARANDA </v>
      </c>
    </row>
    <row r="65400" spans="1:5" ht="38.25" x14ac:dyDescent="0.25">
      <c r="A65400" s="212" t="s">
        <v>345</v>
      </c>
      <c r="B65400" s="201"/>
      <c r="C65400" s="215">
        <v>12117</v>
      </c>
      <c r="D65400" s="216" t="s">
        <v>346</v>
      </c>
      <c r="E65400" s="203" t="str">
        <f>CONCATENATE(Dependencias[[#This Row],[CÓDIGO]]," - ",Dependencias[[#This Row],[DEPENDENCIA]])</f>
        <v xml:space="preserve">12117 - GERENCIA LOCAL LA CANDELARIA </v>
      </c>
    </row>
    <row r="65401" spans="1:5" ht="25.5" x14ac:dyDescent="0.25">
      <c r="A65401" s="212" t="s">
        <v>347</v>
      </c>
      <c r="B65401" s="201"/>
      <c r="C65401" s="213">
        <v>12118</v>
      </c>
      <c r="D65401" s="214" t="s">
        <v>348</v>
      </c>
      <c r="E65401" s="203" t="str">
        <f>CONCATENATE(Dependencias[[#This Row],[CÓDIGO]]," - ",Dependencias[[#This Row],[DEPENDENCIA]])</f>
        <v>12118 - GERENCIA LOCAL RAFAEL URIBE URIBE</v>
      </c>
    </row>
    <row r="65402" spans="1:5" ht="38.25" x14ac:dyDescent="0.25">
      <c r="A65402" s="212" t="s">
        <v>349</v>
      </c>
      <c r="B65402" s="201"/>
      <c r="C65402" s="215">
        <v>12119</v>
      </c>
      <c r="D65402" s="216" t="s">
        <v>350</v>
      </c>
      <c r="E65402" s="203" t="str">
        <f>CONCATENATE(Dependencias[[#This Row],[CÓDIGO]]," - ",Dependencias[[#This Row],[DEPENDENCIA]])</f>
        <v xml:space="preserve">12119 - GERENCIA LOCAL CIUDAD BOLIVAR </v>
      </c>
    </row>
    <row r="65403" spans="1:5" ht="25.5" x14ac:dyDescent="0.25">
      <c r="A65403" s="212" t="s">
        <v>351</v>
      </c>
      <c r="B65403" s="201"/>
      <c r="C65403" s="213">
        <v>12120</v>
      </c>
      <c r="D65403" s="214" t="s">
        <v>352</v>
      </c>
      <c r="E65403" s="203" t="str">
        <f>CONCATENATE(Dependencias[[#This Row],[CÓDIGO]]," - ",Dependencias[[#This Row],[DEPENDENCIA]])</f>
        <v xml:space="preserve">12120 - GERENCIA LOCAL SUMAPAZ </v>
      </c>
    </row>
    <row r="65404" spans="1:5" ht="25.5" x14ac:dyDescent="0.25">
      <c r="A65404" s="212" t="s">
        <v>353</v>
      </c>
      <c r="B65404" s="201"/>
      <c r="C65404" s="215">
        <v>130000</v>
      </c>
      <c r="D65404" s="216" t="s">
        <v>354</v>
      </c>
      <c r="E65404" s="203" t="str">
        <f>CONCATENATE(Dependencias[[#This Row],[CÓDIGO]]," - ",Dependencias[[#This Row],[DEPENDENCIA]])</f>
        <v xml:space="preserve">130000 - DIRECCIÓN SECTOR HÁBITAT Y AMBIENTE </v>
      </c>
    </row>
    <row r="65405" spans="1:5" ht="25.5" x14ac:dyDescent="0.25">
      <c r="A65405" s="212" t="s">
        <v>355</v>
      </c>
      <c r="B65405" s="201"/>
      <c r="C65405" s="213">
        <v>140000</v>
      </c>
      <c r="D65405" s="214" t="s">
        <v>356</v>
      </c>
      <c r="E65405" s="203" t="str">
        <f>CONCATENATE(Dependencias[[#This Row],[CÓDIGO]]," - ",Dependencias[[#This Row],[DEPENDENCIA]])</f>
        <v xml:space="preserve">140000 - DIRECCIÓN SECTOR EDUCACIÓN </v>
      </c>
    </row>
    <row r="65406" spans="1:5" ht="25.5" x14ac:dyDescent="0.25">
      <c r="A65406" s="212" t="s">
        <v>357</v>
      </c>
      <c r="B65406" s="201"/>
      <c r="C65406" s="215">
        <v>150000</v>
      </c>
      <c r="D65406" s="216" t="s">
        <v>358</v>
      </c>
      <c r="E65406" s="203" t="str">
        <f>CONCATENATE(Dependencias[[#This Row],[CÓDIGO]]," - ",Dependencias[[#This Row],[DEPENDENCIA]])</f>
        <v xml:space="preserve">150000 - DIRECCIÓN SECTOR HACIENDA </v>
      </c>
    </row>
    <row r="65407" spans="1:5" ht="25.5" x14ac:dyDescent="0.25">
      <c r="A65407" s="212" t="s">
        <v>359</v>
      </c>
      <c r="B65407" s="201"/>
      <c r="C65407" s="213">
        <v>190000</v>
      </c>
      <c r="D65407" s="214" t="s">
        <v>360</v>
      </c>
      <c r="E65407" s="203" t="str">
        <f>CONCATENATE(Dependencias[[#This Row],[CÓDIGO]]," - ",Dependencias[[#This Row],[DEPENDENCIA]])</f>
        <v xml:space="preserve">190000 - DIRECCIÓN SECTOR DESARROLLO ECONÓMICO, INDUSTRIA Y TURISMO </v>
      </c>
    </row>
    <row r="65408" spans="1:5" ht="25.5" x14ac:dyDescent="0.25">
      <c r="A65408" s="212" t="s">
        <v>361</v>
      </c>
      <c r="B65408" s="201"/>
      <c r="C65408" s="215">
        <v>200000</v>
      </c>
      <c r="D65408" s="216" t="s">
        <v>362</v>
      </c>
      <c r="E65408" s="203" t="str">
        <f>CONCATENATE(Dependencias[[#This Row],[CÓDIGO]]," - ",Dependencias[[#This Row],[DEPENDENCIA]])</f>
        <v xml:space="preserve">200000 - DIRECCIÓN SECTOR INTEGRACIÓN SOCIAL </v>
      </c>
    </row>
    <row r="65409" spans="1:5" ht="25.5" x14ac:dyDescent="0.25">
      <c r="A65409" s="212" t="s">
        <v>363</v>
      </c>
      <c r="B65409" s="201"/>
      <c r="C65409" s="213">
        <v>210000</v>
      </c>
      <c r="D65409" s="214" t="s">
        <v>364</v>
      </c>
      <c r="E65409" s="203" t="str">
        <f>CONCATENATE(Dependencias[[#This Row],[CÓDIGO]]," - ",Dependencias[[#This Row],[DEPENDENCIA]])</f>
        <v xml:space="preserve">210000 - DIRECCIÓN SECTOR SERVICIOS PÚBLICOS </v>
      </c>
    </row>
    <row r="65410" spans="1:5" ht="25.5" x14ac:dyDescent="0.25">
      <c r="A65410" s="212" t="s">
        <v>365</v>
      </c>
      <c r="B65410" s="201"/>
      <c r="C65410" s="215">
        <v>220000</v>
      </c>
      <c r="D65410" s="216" t="s">
        <v>366</v>
      </c>
      <c r="E65410" s="203" t="str">
        <f>CONCATENATE(Dependencias[[#This Row],[CÓDIGO]]," - ",Dependencias[[#This Row],[DEPENDENCIA]])</f>
        <v xml:space="preserve">220000 - DIRECCIÓN SECTOR CULTURA, RECREACIÓN Y DEPORTE </v>
      </c>
    </row>
    <row r="65411" spans="1:5" ht="25.5" x14ac:dyDescent="0.25">
      <c r="A65411" s="212" t="s">
        <v>367</v>
      </c>
      <c r="B65411" s="201"/>
      <c r="C65411" s="213">
        <v>230000</v>
      </c>
      <c r="D65411" s="214" t="s">
        <v>368</v>
      </c>
      <c r="E65411" s="203" t="str">
        <f>CONCATENATE(Dependencias[[#This Row],[CÓDIGO]]," - ",Dependencias[[#This Row],[DEPENDENCIA]])</f>
        <v>230000 - DIRECCIÓN SECTOR SEGURIDAD, CONVIVENCIA Y JUSTICIA</v>
      </c>
    </row>
    <row r="65412" spans="1:5" ht="25.5" x14ac:dyDescent="0.25">
      <c r="A65412" s="212" t="s">
        <v>369</v>
      </c>
      <c r="B65412" s="201"/>
      <c r="C65412" s="213">
        <v>80000</v>
      </c>
      <c r="D65412" s="214" t="s">
        <v>370</v>
      </c>
      <c r="E65412" s="203" t="str">
        <f>CONCATENATE(Dependencias[[#This Row],[CÓDIGO]]," - ",Dependencias[[#This Row],[DEPENDENCIA]])</f>
        <v xml:space="preserve">80000 - DIRECCIÓN SECTOR MOVILIDAD </v>
      </c>
    </row>
    <row r="65413" spans="1:5" ht="25.5" x14ac:dyDescent="0.25">
      <c r="A65413" s="212" t="s">
        <v>371</v>
      </c>
      <c r="B65413" s="201"/>
      <c r="C65413" s="218">
        <v>90000</v>
      </c>
      <c r="D65413" s="219" t="s">
        <v>372</v>
      </c>
      <c r="E65413" s="203" t="str">
        <f>CONCATENATE(Dependencias[[#This Row],[CÓDIGO]]," - ",Dependencias[[#This Row],[DEPENDENCIA]])</f>
        <v xml:space="preserve">90000 - DIRECCIÓN SECTOR GESTIÓN JURIDICA </v>
      </c>
    </row>
    <row r="65414" spans="1:5" ht="25.5" x14ac:dyDescent="0.25">
      <c r="A65414" s="212" t="s">
        <v>373</v>
      </c>
      <c r="B65414" s="201"/>
      <c r="C65414" s="215"/>
      <c r="D65414" s="216"/>
      <c r="E65414" s="203"/>
    </row>
    <row r="65415" spans="1:5" x14ac:dyDescent="0.25">
      <c r="A65415" s="212" t="s">
        <v>374</v>
      </c>
      <c r="B65415" s="201"/>
      <c r="C65415" s="204"/>
      <c r="D65415" s="201"/>
      <c r="E65415" s="202"/>
    </row>
    <row r="65416" spans="1:5" ht="25.5" x14ac:dyDescent="0.25">
      <c r="A65416" s="212" t="s">
        <v>375</v>
      </c>
      <c r="B65416" s="201"/>
      <c r="C65416" s="204"/>
      <c r="D65416" s="201"/>
      <c r="E65416" s="202"/>
    </row>
    <row r="65417" spans="1:5" ht="25.5" x14ac:dyDescent="0.25">
      <c r="A65417" s="212" t="s">
        <v>376</v>
      </c>
      <c r="B65417" s="201"/>
      <c r="C65417" s="204"/>
      <c r="D65417" s="201"/>
      <c r="E65417" s="202"/>
    </row>
    <row r="65418" spans="1:5" x14ac:dyDescent="0.25">
      <c r="A65418" s="212" t="s">
        <v>377</v>
      </c>
      <c r="B65418" s="201"/>
      <c r="C65418" s="204"/>
      <c r="D65418" s="201"/>
      <c r="E65418" s="202"/>
    </row>
    <row r="65419" spans="1:5" ht="38.25" x14ac:dyDescent="0.25">
      <c r="A65419" s="212" t="s">
        <v>378</v>
      </c>
      <c r="B65419" s="201"/>
      <c r="C65419" s="204"/>
      <c r="D65419" s="201"/>
      <c r="E65419" s="202"/>
    </row>
    <row r="65420" spans="1:5" x14ac:dyDescent="0.25">
      <c r="A65420" s="212" t="s">
        <v>379</v>
      </c>
      <c r="B65420" s="201"/>
      <c r="C65420" s="204"/>
      <c r="D65420" s="201"/>
      <c r="E65420" s="202"/>
    </row>
    <row r="65421" spans="1:5" x14ac:dyDescent="0.25">
      <c r="A65421" s="212" t="s">
        <v>380</v>
      </c>
      <c r="B65421" s="201"/>
      <c r="C65421" s="204"/>
      <c r="D65421" s="201"/>
      <c r="E65421" s="202"/>
    </row>
    <row r="65422" spans="1:5" x14ac:dyDescent="0.25">
      <c r="A65422" s="212" t="s">
        <v>381</v>
      </c>
      <c r="B65422" s="201"/>
      <c r="C65422" s="204"/>
      <c r="D65422" s="201"/>
      <c r="E65422" s="202"/>
    </row>
    <row r="65423" spans="1:5" x14ac:dyDescent="0.25">
      <c r="A65423" s="212" t="s">
        <v>382</v>
      </c>
      <c r="B65423" s="201"/>
      <c r="C65423" s="204"/>
      <c r="D65423" s="201"/>
      <c r="E65423" s="202"/>
    </row>
    <row r="65424" spans="1:5" ht="25.5" x14ac:dyDescent="0.25">
      <c r="A65424" s="212" t="s">
        <v>383</v>
      </c>
      <c r="B65424" s="201"/>
      <c r="C65424" s="204"/>
      <c r="D65424" s="201"/>
      <c r="E65424" s="202"/>
    </row>
    <row r="65425" spans="1:5" ht="25.5" x14ac:dyDescent="0.25">
      <c r="A65425" s="212" t="s">
        <v>384</v>
      </c>
      <c r="B65425" s="201"/>
      <c r="C65425" s="204"/>
      <c r="D65425" s="201"/>
      <c r="E65425" s="202"/>
    </row>
    <row r="65426" spans="1:5" ht="38.25" x14ac:dyDescent="0.25">
      <c r="A65426" s="212" t="s">
        <v>385</v>
      </c>
      <c r="B65426" s="201"/>
      <c r="C65426" s="204"/>
      <c r="D65426" s="201"/>
      <c r="E65426" s="202"/>
    </row>
    <row r="65427" spans="1:5" ht="25.5" x14ac:dyDescent="0.25">
      <c r="A65427" s="212" t="s">
        <v>386</v>
      </c>
      <c r="B65427" s="201"/>
      <c r="C65427" s="204"/>
      <c r="D65427" s="201"/>
      <c r="E65427" s="202"/>
    </row>
    <row r="65428" spans="1:5" ht="25.5" x14ac:dyDescent="0.25">
      <c r="A65428" s="212" t="s">
        <v>387</v>
      </c>
      <c r="B65428" s="201"/>
      <c r="C65428" s="204"/>
      <c r="D65428" s="201"/>
      <c r="E65428" s="202"/>
    </row>
    <row r="65429" spans="1:5" ht="25.5" x14ac:dyDescent="0.25">
      <c r="A65429" s="212" t="s">
        <v>388</v>
      </c>
      <c r="B65429" s="201"/>
      <c r="C65429" s="204"/>
      <c r="D65429" s="201"/>
      <c r="E65429" s="202"/>
    </row>
    <row r="65430" spans="1:5" ht="38.25" x14ac:dyDescent="0.25">
      <c r="A65430" s="212" t="s">
        <v>389</v>
      </c>
      <c r="B65430" s="201"/>
      <c r="C65430" s="204"/>
      <c r="D65430" s="201"/>
      <c r="E65430" s="202"/>
    </row>
    <row r="65431" spans="1:5" ht="38.25" x14ac:dyDescent="0.25">
      <c r="A65431" s="212" t="s">
        <v>390</v>
      </c>
      <c r="B65431" s="201"/>
      <c r="C65431" s="204"/>
      <c r="D65431" s="201"/>
      <c r="E65431" s="202"/>
    </row>
    <row r="65432" spans="1:5" ht="25.5" x14ac:dyDescent="0.25">
      <c r="A65432" s="212" t="s">
        <v>391</v>
      </c>
      <c r="B65432" s="201"/>
      <c r="C65432" s="204"/>
      <c r="D65432" s="201"/>
      <c r="E65432" s="202"/>
    </row>
    <row r="65433" spans="1:5" ht="25.5" x14ac:dyDescent="0.25">
      <c r="A65433" s="212" t="s">
        <v>392</v>
      </c>
      <c r="B65433" s="201"/>
      <c r="C65433" s="204"/>
      <c r="D65433" s="201"/>
      <c r="E65433" s="202"/>
    </row>
    <row r="65434" spans="1:5" ht="25.5" x14ac:dyDescent="0.25">
      <c r="A65434" s="212" t="s">
        <v>393</v>
      </c>
      <c r="B65434" s="201"/>
      <c r="C65434" s="204"/>
      <c r="D65434" s="201"/>
      <c r="E65434" s="202"/>
    </row>
    <row r="65435" spans="1:5" ht="38.25" x14ac:dyDescent="0.25">
      <c r="A65435" s="212" t="s">
        <v>394</v>
      </c>
      <c r="B65435" s="201"/>
      <c r="C65435" s="204"/>
      <c r="D65435" s="201"/>
      <c r="E65435" s="202"/>
    </row>
    <row r="65436" spans="1:5" ht="25.5" x14ac:dyDescent="0.25">
      <c r="A65436" s="212" t="s">
        <v>395</v>
      </c>
      <c r="B65436" s="201"/>
      <c r="C65436" s="204"/>
      <c r="D65436" s="201"/>
      <c r="E65436" s="202"/>
    </row>
    <row r="65437" spans="1:5" ht="25.5" x14ac:dyDescent="0.25">
      <c r="A65437" s="212" t="s">
        <v>396</v>
      </c>
      <c r="B65437" s="201"/>
      <c r="C65437" s="204"/>
      <c r="D65437" s="201"/>
      <c r="E65437" s="202"/>
    </row>
    <row r="65438" spans="1:5" ht="25.5" x14ac:dyDescent="0.25">
      <c r="A65438" s="212" t="s">
        <v>397</v>
      </c>
      <c r="B65438" s="201"/>
      <c r="C65438" s="204"/>
      <c r="D65438" s="201"/>
      <c r="E65438" s="202"/>
    </row>
    <row r="65439" spans="1:5" x14ac:dyDescent="0.25">
      <c r="A65439" s="212" t="s">
        <v>398</v>
      </c>
      <c r="B65439" s="201"/>
      <c r="C65439" s="204"/>
      <c r="D65439" s="201"/>
      <c r="E65439" s="202"/>
    </row>
    <row r="65440" spans="1:5" x14ac:dyDescent="0.25">
      <c r="A65440" s="212" t="s">
        <v>399</v>
      </c>
      <c r="B65440" s="201"/>
      <c r="C65440" s="204"/>
      <c r="D65440" s="201"/>
      <c r="E65440" s="202"/>
    </row>
    <row r="65441" spans="1:5" ht="25.5" x14ac:dyDescent="0.25">
      <c r="A65441" s="212" t="s">
        <v>400</v>
      </c>
      <c r="B65441" s="201"/>
      <c r="C65441" s="204"/>
      <c r="D65441" s="201"/>
      <c r="E65441" s="202"/>
    </row>
    <row r="65442" spans="1:5" ht="38.25" x14ac:dyDescent="0.25">
      <c r="A65442" s="212" t="s">
        <v>401</v>
      </c>
      <c r="B65442" s="201"/>
      <c r="C65442" s="204"/>
      <c r="D65442" s="201"/>
      <c r="E65442" s="202"/>
    </row>
    <row r="65443" spans="1:5" x14ac:dyDescent="0.25">
      <c r="A65443" s="212" t="s">
        <v>402</v>
      </c>
      <c r="B65443" s="201"/>
      <c r="C65443" s="204"/>
      <c r="D65443" s="201"/>
      <c r="E65443" s="202"/>
    </row>
    <row r="65444" spans="1:5" ht="38.25" x14ac:dyDescent="0.25">
      <c r="A65444" s="212" t="s">
        <v>403</v>
      </c>
      <c r="B65444" s="201"/>
      <c r="C65444" s="204"/>
      <c r="D65444" s="201"/>
      <c r="E65444" s="202"/>
    </row>
    <row r="65445" spans="1:5" x14ac:dyDescent="0.25">
      <c r="A65445" s="212" t="s">
        <v>404</v>
      </c>
      <c r="B65445" s="201"/>
      <c r="C65445" s="204"/>
      <c r="D65445" s="201"/>
      <c r="E65445" s="202"/>
    </row>
    <row r="65446" spans="1:5" ht="25.5" x14ac:dyDescent="0.25">
      <c r="A65446" s="212" t="s">
        <v>120</v>
      </c>
      <c r="B65446" s="201"/>
      <c r="C65446" s="204"/>
      <c r="D65446" s="201"/>
      <c r="E65446" s="202"/>
    </row>
    <row r="65447" spans="1:5" ht="25.5" x14ac:dyDescent="0.25">
      <c r="A65447" s="212" t="s">
        <v>405</v>
      </c>
      <c r="B65447" s="201"/>
      <c r="C65447" s="204"/>
      <c r="D65447" s="201"/>
      <c r="E65447" s="202"/>
    </row>
    <row r="65448" spans="1:5" x14ac:dyDescent="0.25">
      <c r="A65448" s="212" t="s">
        <v>406</v>
      </c>
      <c r="B65448" s="201"/>
      <c r="C65448" s="204"/>
      <c r="D65448" s="201"/>
      <c r="E65448" s="202"/>
    </row>
    <row r="65449" spans="1:5" ht="38.25" x14ac:dyDescent="0.25">
      <c r="A65449" s="212" t="s">
        <v>407</v>
      </c>
      <c r="B65449" s="201"/>
      <c r="C65449" s="204"/>
      <c r="D65449" s="201"/>
      <c r="E65449" s="202"/>
    </row>
    <row r="65450" spans="1:5" ht="25.5" x14ac:dyDescent="0.25">
      <c r="A65450" s="212" t="s">
        <v>408</v>
      </c>
      <c r="B65450" s="201"/>
      <c r="C65450" s="204"/>
      <c r="D65450" s="201"/>
      <c r="E65450" s="202"/>
    </row>
    <row r="65451" spans="1:5" ht="25.5" x14ac:dyDescent="0.25">
      <c r="A65451" s="212" t="s">
        <v>409</v>
      </c>
      <c r="B65451" s="201"/>
      <c r="C65451" s="204"/>
      <c r="D65451" s="201"/>
      <c r="E65451" s="202"/>
    </row>
    <row r="65452" spans="1:5" ht="25.5" x14ac:dyDescent="0.25">
      <c r="A65452" s="212" t="s">
        <v>410</v>
      </c>
      <c r="B65452" s="201"/>
      <c r="C65452" s="204"/>
      <c r="D65452" s="201"/>
      <c r="E65452" s="202"/>
    </row>
    <row r="65453" spans="1:5" ht="25.5" x14ac:dyDescent="0.25">
      <c r="A65453" s="212" t="s">
        <v>411</v>
      </c>
      <c r="B65453" s="201"/>
      <c r="C65453" s="204"/>
      <c r="D65453" s="201"/>
      <c r="E65453" s="202"/>
    </row>
    <row r="65454" spans="1:5" ht="25.5" x14ac:dyDescent="0.25">
      <c r="A65454" s="212" t="s">
        <v>412</v>
      </c>
      <c r="B65454" s="201"/>
      <c r="C65454" s="204"/>
      <c r="D65454" s="201"/>
      <c r="E65454" s="202"/>
    </row>
    <row r="65455" spans="1:5" ht="38.25" x14ac:dyDescent="0.25">
      <c r="A65455" s="212" t="s">
        <v>413</v>
      </c>
      <c r="B65455" s="201"/>
      <c r="C65455" s="204"/>
      <c r="D65455" s="201"/>
      <c r="E65455" s="202"/>
    </row>
    <row r="65456" spans="1:5" ht="38.25" x14ac:dyDescent="0.25">
      <c r="A65456" s="212" t="s">
        <v>414</v>
      </c>
      <c r="B65456" s="201"/>
      <c r="C65456" s="204"/>
      <c r="D65456" s="201"/>
      <c r="E65456" s="202"/>
    </row>
    <row r="65457" spans="1:5" ht="25.5" x14ac:dyDescent="0.25">
      <c r="A65457" s="212" t="s">
        <v>415</v>
      </c>
      <c r="B65457" s="201"/>
      <c r="C65457" s="204"/>
      <c r="D65457" s="201"/>
      <c r="E65457" s="202"/>
    </row>
    <row r="65458" spans="1:5" x14ac:dyDescent="0.25">
      <c r="A65458" s="212" t="s">
        <v>416</v>
      </c>
      <c r="B65458" s="201"/>
      <c r="C65458" s="204"/>
      <c r="D65458" s="201"/>
      <c r="E65458" s="202"/>
    </row>
    <row r="65459" spans="1:5" x14ac:dyDescent="0.25">
      <c r="A65459" s="212" t="s">
        <v>417</v>
      </c>
      <c r="B65459" s="201"/>
      <c r="C65459" s="204"/>
      <c r="D65459" s="201"/>
      <c r="E65459" s="202"/>
    </row>
    <row r="65460" spans="1:5" ht="38.25" x14ac:dyDescent="0.25">
      <c r="A65460" s="212" t="s">
        <v>418</v>
      </c>
      <c r="B65460" s="201"/>
      <c r="C65460" s="204"/>
      <c r="D65460" s="201"/>
      <c r="E65460" s="202"/>
    </row>
    <row r="65461" spans="1:5" ht="38.25" x14ac:dyDescent="0.25">
      <c r="A65461" s="212" t="s">
        <v>419</v>
      </c>
      <c r="B65461" s="201"/>
      <c r="C65461" s="204"/>
      <c r="D65461" s="201"/>
      <c r="E65461" s="202"/>
    </row>
    <row r="65462" spans="1:5" ht="25.5" x14ac:dyDescent="0.25">
      <c r="A65462" s="212" t="s">
        <v>420</v>
      </c>
      <c r="B65462" s="201"/>
      <c r="C65462" s="204"/>
      <c r="D65462" s="201"/>
      <c r="E65462" s="202"/>
    </row>
    <row r="65463" spans="1:5" ht="25.5" x14ac:dyDescent="0.25">
      <c r="A65463" s="212" t="s">
        <v>421</v>
      </c>
      <c r="B65463" s="201"/>
      <c r="C65463" s="204"/>
      <c r="D65463" s="201"/>
      <c r="E65463" s="202"/>
    </row>
    <row r="65464" spans="1:5" x14ac:dyDescent="0.25">
      <c r="A65464" s="212" t="s">
        <v>422</v>
      </c>
      <c r="B65464" s="201"/>
      <c r="C65464" s="204"/>
      <c r="D65464" s="201"/>
      <c r="E65464" s="202"/>
    </row>
    <row r="65465" spans="1:5" ht="38.25" x14ac:dyDescent="0.25">
      <c r="A65465" s="212" t="s">
        <v>423</v>
      </c>
      <c r="B65465" s="201"/>
      <c r="C65465" s="204"/>
      <c r="D65465" s="201"/>
      <c r="E65465" s="202"/>
    </row>
    <row r="65466" spans="1:5" ht="51" x14ac:dyDescent="0.25">
      <c r="A65466" s="212" t="s">
        <v>424</v>
      </c>
      <c r="B65466" s="201"/>
      <c r="C65466" s="204"/>
      <c r="D65466" s="201"/>
      <c r="E65466" s="202"/>
    </row>
    <row r="65467" spans="1:5" ht="25.5" x14ac:dyDescent="0.25">
      <c r="A65467" s="212" t="s">
        <v>425</v>
      </c>
      <c r="B65467" s="201"/>
      <c r="C65467" s="204"/>
      <c r="D65467" s="201"/>
      <c r="E65467" s="202"/>
    </row>
    <row r="65468" spans="1:5" ht="25.5" x14ac:dyDescent="0.25">
      <c r="A65468" s="212" t="s">
        <v>426</v>
      </c>
      <c r="B65468" s="201"/>
      <c r="C65468" s="204"/>
      <c r="D65468" s="201"/>
      <c r="E65468" s="202"/>
    </row>
    <row r="65469" spans="1:5" ht="25.5" x14ac:dyDescent="0.25">
      <c r="A65469" s="212" t="s">
        <v>427</v>
      </c>
      <c r="B65469" s="201"/>
      <c r="C65469" s="204"/>
      <c r="D65469" s="201"/>
      <c r="E65469" s="202"/>
    </row>
    <row r="65470" spans="1:5" ht="25.5" x14ac:dyDescent="0.25">
      <c r="A65470" s="212" t="s">
        <v>428</v>
      </c>
      <c r="B65470" s="201"/>
      <c r="C65470" s="204"/>
      <c r="D65470" s="201"/>
      <c r="E65470" s="202"/>
    </row>
    <row r="65471" spans="1:5" x14ac:dyDescent="0.25">
      <c r="A65471" s="212" t="s">
        <v>429</v>
      </c>
      <c r="B65471" s="201"/>
      <c r="C65471" s="204"/>
      <c r="D65471" s="201"/>
      <c r="E65471" s="202"/>
    </row>
    <row r="65472" spans="1:5" ht="38.25" x14ac:dyDescent="0.25">
      <c r="A65472" s="212" t="s">
        <v>430</v>
      </c>
      <c r="B65472" s="201"/>
      <c r="C65472" s="204"/>
      <c r="D65472" s="201"/>
      <c r="E65472" s="202"/>
    </row>
    <row r="65473" spans="1:5" ht="25.5" x14ac:dyDescent="0.25">
      <c r="A65473" s="1184" t="s">
        <v>431</v>
      </c>
      <c r="B65473" s="201"/>
      <c r="C65473" s="204"/>
      <c r="D65473" s="201"/>
      <c r="E65473" s="202"/>
    </row>
    <row r="65474" spans="1:5" ht="25.5" x14ac:dyDescent="0.25">
      <c r="A65474" s="212" t="s">
        <v>432</v>
      </c>
      <c r="B65474" s="201"/>
      <c r="C65474" s="204"/>
      <c r="D65474" s="201"/>
      <c r="E65474" s="202"/>
    </row>
    <row r="65475" spans="1:5" ht="25.5" x14ac:dyDescent="0.25">
      <c r="A65475" s="212" t="s">
        <v>433</v>
      </c>
      <c r="B65475" s="201"/>
      <c r="C65475" s="204"/>
      <c r="D65475" s="201"/>
      <c r="E65475" s="202"/>
    </row>
    <row r="65476" spans="1:5" ht="33" customHeight="1" x14ac:dyDescent="0.25">
      <c r="A65476" s="1184" t="s">
        <v>434</v>
      </c>
      <c r="B65476" s="201"/>
      <c r="C65476" s="204"/>
      <c r="D65476" s="201"/>
      <c r="E65476" s="202"/>
    </row>
    <row r="65477" spans="1:5" x14ac:dyDescent="0.25">
      <c r="A65477" s="207"/>
      <c r="B65477" s="201"/>
      <c r="C65477" s="204"/>
      <c r="D65477" s="201"/>
      <c r="E65477" s="202"/>
    </row>
    <row r="65478" spans="1:5" x14ac:dyDescent="0.25">
      <c r="A65478" s="207"/>
      <c r="B65478" s="201"/>
      <c r="C65478" s="204"/>
      <c r="D65478" s="201"/>
      <c r="E65478" s="202"/>
    </row>
    <row r="65479" spans="1:5" x14ac:dyDescent="0.25">
      <c r="A65479" s="207"/>
      <c r="B65479" s="201"/>
      <c r="C65479" s="204"/>
      <c r="D65479" s="201"/>
      <c r="E65479" s="202"/>
    </row>
    <row r="65480" spans="1:5" x14ac:dyDescent="0.25">
      <c r="A65480" s="207"/>
      <c r="B65480" s="201"/>
      <c r="C65480" s="204"/>
      <c r="D65480" s="201"/>
      <c r="E65480" s="202"/>
    </row>
    <row r="65481" spans="1:5" x14ac:dyDescent="0.25">
      <c r="A65481" s="207"/>
      <c r="B65481" s="201"/>
      <c r="C65481" s="204"/>
      <c r="D65481" s="201"/>
      <c r="E65481" s="202"/>
    </row>
    <row r="65482" spans="1:5" x14ac:dyDescent="0.25">
      <c r="A65482" s="207"/>
      <c r="B65482" s="201"/>
      <c r="C65482" s="204"/>
      <c r="D65482" s="201"/>
      <c r="E65482" s="202"/>
    </row>
    <row r="65483" spans="1:5" x14ac:dyDescent="0.25">
      <c r="A65483" s="220"/>
      <c r="B65483" s="201"/>
      <c r="C65483" s="204"/>
      <c r="D65483" s="201"/>
      <c r="E65483" s="202"/>
    </row>
    <row r="65484" spans="1:5" x14ac:dyDescent="0.25">
      <c r="A65484" s="207"/>
      <c r="B65484" s="201"/>
      <c r="C65484" s="204"/>
      <c r="D65484" s="201"/>
      <c r="E65484" s="202"/>
    </row>
    <row r="65485" spans="1:5" x14ac:dyDescent="0.25">
      <c r="A65485" s="207"/>
      <c r="B65485" s="201"/>
      <c r="C65485" s="204"/>
      <c r="D65485" s="201"/>
      <c r="E65485" s="202"/>
    </row>
    <row r="65486" spans="1:5" x14ac:dyDescent="0.25">
      <c r="A65486" s="207"/>
      <c r="B65486" s="201"/>
      <c r="C65486" s="204"/>
      <c r="D65486" s="201"/>
      <c r="E65486" s="202"/>
    </row>
    <row r="65487" spans="1:5" x14ac:dyDescent="0.25">
      <c r="A65487" s="207"/>
      <c r="B65487" s="201"/>
      <c r="C65487" s="204"/>
      <c r="D65487" s="201"/>
      <c r="E65487" s="202"/>
    </row>
    <row r="65488" spans="1:5" x14ac:dyDescent="0.25">
      <c r="A65488" s="207"/>
      <c r="B65488" s="201"/>
      <c r="C65488" s="204"/>
      <c r="D65488" s="201"/>
      <c r="E65488" s="202"/>
    </row>
    <row r="65489" spans="1:5" x14ac:dyDescent="0.25">
      <c r="A65489" s="207"/>
      <c r="B65489" s="201"/>
      <c r="C65489" s="204"/>
      <c r="D65489" s="201"/>
      <c r="E65489" s="202"/>
    </row>
    <row r="65490" spans="1:5" x14ac:dyDescent="0.25">
      <c r="A65490" s="207"/>
      <c r="B65490" s="201"/>
      <c r="C65490" s="204"/>
      <c r="D65490" s="201"/>
      <c r="E65490" s="202"/>
    </row>
    <row r="65491" spans="1:5" x14ac:dyDescent="0.25">
      <c r="A65491" s="207"/>
      <c r="B65491" s="201"/>
      <c r="C65491" s="204"/>
      <c r="D65491" s="201"/>
      <c r="E65491" s="202"/>
    </row>
    <row r="65492" spans="1:5" x14ac:dyDescent="0.25">
      <c r="A65492" s="207"/>
      <c r="B65492" s="201"/>
      <c r="C65492" s="204"/>
      <c r="D65492" s="201"/>
      <c r="E65492" s="202"/>
    </row>
    <row r="65493" spans="1:5" x14ac:dyDescent="0.25">
      <c r="A65493" s="207"/>
      <c r="B65493" s="201"/>
      <c r="C65493" s="204"/>
      <c r="D65493" s="201"/>
      <c r="E65493" s="202"/>
    </row>
    <row r="65494" spans="1:5" x14ac:dyDescent="0.25">
      <c r="A65494" s="207"/>
      <c r="B65494" s="201"/>
      <c r="C65494" s="204"/>
      <c r="D65494" s="201"/>
      <c r="E65494" s="202"/>
    </row>
    <row r="65495" spans="1:5" x14ac:dyDescent="0.25">
      <c r="A65495" s="207"/>
      <c r="B65495" s="201"/>
      <c r="C65495" s="204"/>
      <c r="D65495" s="201"/>
      <c r="E65495" s="202"/>
    </row>
    <row r="65496" spans="1:5" x14ac:dyDescent="0.25">
      <c r="A65496" s="207"/>
      <c r="B65496" s="201"/>
      <c r="C65496" s="204"/>
      <c r="D65496" s="201"/>
      <c r="E65496" s="202"/>
    </row>
    <row r="65497" spans="1:5" x14ac:dyDescent="0.25">
      <c r="A65497" s="207"/>
      <c r="B65497" s="201"/>
      <c r="C65497" s="204"/>
      <c r="D65497" s="201"/>
      <c r="E65497" s="202"/>
    </row>
    <row r="65498" spans="1:5" x14ac:dyDescent="0.25">
      <c r="A65498" s="207"/>
      <c r="B65498" s="201"/>
      <c r="C65498" s="204"/>
      <c r="D65498" s="201"/>
      <c r="E65498" s="202"/>
    </row>
    <row r="65499" spans="1:5" x14ac:dyDescent="0.25">
      <c r="A65499" s="207"/>
      <c r="B65499" s="201"/>
      <c r="C65499" s="204"/>
      <c r="D65499" s="201"/>
      <c r="E65499" s="202"/>
    </row>
    <row r="65500" spans="1:5" x14ac:dyDescent="0.25">
      <c r="A65500" s="207"/>
      <c r="B65500" s="201"/>
      <c r="C65500" s="204"/>
      <c r="D65500" s="201"/>
      <c r="E65500" s="202"/>
    </row>
    <row r="65501" spans="1:5" x14ac:dyDescent="0.25">
      <c r="A65501" s="207"/>
      <c r="B65501" s="201"/>
      <c r="C65501" s="204"/>
      <c r="D65501" s="201"/>
      <c r="E65501" s="202"/>
    </row>
    <row r="65502" spans="1:5" x14ac:dyDescent="0.25">
      <c r="A65502" s="207"/>
      <c r="B65502" s="201"/>
      <c r="C65502" s="204"/>
      <c r="D65502" s="201"/>
      <c r="E65502" s="202"/>
    </row>
    <row r="65503" spans="1:5" x14ac:dyDescent="0.25">
      <c r="A65503" s="207"/>
      <c r="B65503" s="201"/>
      <c r="C65503" s="204"/>
      <c r="D65503" s="201"/>
      <c r="E65503" s="202"/>
    </row>
    <row r="65504" spans="1:5" x14ac:dyDescent="0.25">
      <c r="A65504" s="207"/>
      <c r="B65504" s="201"/>
      <c r="C65504" s="204"/>
      <c r="D65504" s="201"/>
      <c r="E65504" s="202"/>
    </row>
    <row r="65505" spans="1:57" x14ac:dyDescent="0.25">
      <c r="A65505" s="207"/>
      <c r="B65505" s="201"/>
      <c r="C65505" s="204"/>
      <c r="D65505" s="201"/>
      <c r="E65505" s="202"/>
    </row>
    <row r="65506" spans="1:57" x14ac:dyDescent="0.25">
      <c r="A65506" s="207"/>
      <c r="B65506" s="201"/>
      <c r="C65506" s="204"/>
      <c r="D65506" s="201"/>
      <c r="E65506" s="202"/>
    </row>
    <row r="65507" spans="1:57" x14ac:dyDescent="0.25">
      <c r="A65507" s="207"/>
      <c r="B65507" s="201"/>
      <c r="C65507" s="204"/>
      <c r="D65507" s="201"/>
      <c r="E65507" s="202"/>
    </row>
    <row r="65508" spans="1:57" x14ac:dyDescent="0.25">
      <c r="A65508" s="207"/>
      <c r="B65508" s="201"/>
      <c r="C65508" s="204"/>
      <c r="D65508" s="201"/>
      <c r="E65508" s="202"/>
    </row>
    <row r="65509" spans="1:57" x14ac:dyDescent="0.25">
      <c r="A65509" s="207"/>
      <c r="B65509" s="201"/>
      <c r="C65509" s="204"/>
      <c r="D65509" s="201"/>
      <c r="E65509" s="202"/>
    </row>
    <row r="65510" spans="1:57" x14ac:dyDescent="0.25">
      <c r="A65510" s="207"/>
      <c r="B65510" s="201"/>
      <c r="C65510" s="204"/>
      <c r="D65510" s="201"/>
      <c r="E65510" s="202"/>
    </row>
    <row r="65511" spans="1:57" x14ac:dyDescent="0.25">
      <c r="A65511" s="207"/>
      <c r="B65511" s="201"/>
      <c r="C65511" s="204"/>
      <c r="D65511" s="201"/>
      <c r="E65511" s="202"/>
    </row>
    <row r="65512" spans="1:57" x14ac:dyDescent="0.25">
      <c r="A65512" s="207"/>
      <c r="B65512" s="201"/>
      <c r="C65512" s="204"/>
      <c r="D65512" s="201"/>
      <c r="E65512" s="202"/>
    </row>
    <row r="65513" spans="1:57" ht="15" thickBot="1" x14ac:dyDescent="0.3">
      <c r="A65513" s="221"/>
      <c r="B65513" s="204"/>
      <c r="C65513" s="204"/>
      <c r="D65513" s="202"/>
      <c r="E65513" s="202"/>
      <c r="R65513" s="103"/>
      <c r="BE65513" s="104"/>
    </row>
    <row r="65514" spans="1:57" x14ac:dyDescent="0.25">
      <c r="A65514" s="201"/>
      <c r="B65514" s="204"/>
      <c r="C65514" s="204"/>
      <c r="D65514" s="202"/>
      <c r="E65514" s="202"/>
      <c r="R65514" s="103"/>
      <c r="BE65514" s="104"/>
    </row>
    <row r="65515" spans="1:57" x14ac:dyDescent="0.25">
      <c r="A65515" s="201"/>
      <c r="B65515" s="204"/>
      <c r="C65515" s="204"/>
      <c r="D65515" s="202"/>
      <c r="E65515" s="202"/>
      <c r="R65515" s="103"/>
      <c r="BE65515" s="104"/>
    </row>
    <row r="65516" spans="1:57" x14ac:dyDescent="0.25">
      <c r="A65516" s="201"/>
      <c r="B65516" s="204"/>
      <c r="C65516" s="204"/>
      <c r="D65516" s="202"/>
      <c r="E65516" s="202"/>
      <c r="R65516" s="103"/>
      <c r="BE65516" s="104"/>
    </row>
    <row r="65517" spans="1:57" x14ac:dyDescent="0.25">
      <c r="A65517" s="201"/>
      <c r="B65517" s="204"/>
      <c r="C65517" s="204"/>
      <c r="D65517" s="202"/>
      <c r="E65517" s="202"/>
      <c r="R65517" s="103"/>
      <c r="BE65517" s="104"/>
    </row>
    <row r="65518" spans="1:57" x14ac:dyDescent="0.25">
      <c r="A65518" s="201" t="s">
        <v>460</v>
      </c>
      <c r="B65518" s="204"/>
      <c r="C65518" s="204"/>
      <c r="D65518" s="202"/>
      <c r="E65518" s="202"/>
      <c r="R65518" s="103"/>
      <c r="BE65518" s="104"/>
    </row>
    <row r="65519" spans="1:57" x14ac:dyDescent="0.25">
      <c r="A65519" s="201" t="s">
        <v>435</v>
      </c>
      <c r="B65519" s="204"/>
      <c r="C65519" s="204"/>
      <c r="D65519" s="202"/>
      <c r="E65519" s="202"/>
      <c r="R65519" s="103"/>
      <c r="BE65519" s="104"/>
    </row>
    <row r="65520" spans="1:57" x14ac:dyDescent="0.25">
      <c r="A65520" s="201" t="s">
        <v>436</v>
      </c>
      <c r="B65520" s="204"/>
      <c r="C65520" s="204"/>
      <c r="D65520" s="202"/>
      <c r="E65520" s="202"/>
      <c r="R65520" s="103"/>
      <c r="BE65520" s="104"/>
    </row>
    <row r="65521" spans="1:57" x14ac:dyDescent="0.25">
      <c r="A65521" s="201" t="s">
        <v>437</v>
      </c>
      <c r="B65521" s="204"/>
      <c r="C65521" s="204"/>
      <c r="D65521" s="202"/>
      <c r="E65521" s="202"/>
      <c r="R65521" s="103"/>
      <c r="BE65521" s="104"/>
    </row>
    <row r="65522" spans="1:57" x14ac:dyDescent="0.25">
      <c r="A65522" s="201" t="s">
        <v>197</v>
      </c>
      <c r="B65522" s="204"/>
      <c r="C65522" s="204"/>
      <c r="D65522" s="202"/>
      <c r="E65522" s="202"/>
      <c r="R65522" s="103"/>
      <c r="BE65522" s="104"/>
    </row>
    <row r="65523" spans="1:57" x14ac:dyDescent="0.25">
      <c r="A65523" s="201" t="s">
        <v>438</v>
      </c>
      <c r="B65523" s="201"/>
      <c r="C65523" s="204"/>
      <c r="D65523" s="201"/>
      <c r="E65523" s="202"/>
    </row>
    <row r="65524" spans="1:57" x14ac:dyDescent="0.25">
      <c r="A65524" s="201" t="s">
        <v>198</v>
      </c>
      <c r="B65524" s="201"/>
      <c r="C65524" s="204"/>
      <c r="D65524" s="201"/>
      <c r="E65524" s="202"/>
    </row>
  </sheetData>
  <sheetProtection algorithmName="SHA-512" hashValue="wU2Qx8TlXRSv4IhNXdiLP+0WcyrZYcq9wKO3uGHgLrOGas2/HLDcoAaKBBJYO/fQ1bFUw0og4DVa8k3DEPZZDw==" saltValue="nDd1Fuvs1A7XEAwCC5rCPQ==" spinCount="100000" sheet="1" objects="1" scenarios="1"/>
  <mergeCells count="44">
    <mergeCell ref="A54:A63"/>
    <mergeCell ref="B55:B59"/>
    <mergeCell ref="B62:B63"/>
    <mergeCell ref="A64:A69"/>
    <mergeCell ref="B64:B69"/>
    <mergeCell ref="E106:E110"/>
    <mergeCell ref="B81:D81"/>
    <mergeCell ref="K92:Q92"/>
    <mergeCell ref="L93:Q93"/>
    <mergeCell ref="F94:H94"/>
    <mergeCell ref="L94:M94"/>
    <mergeCell ref="N94:O94"/>
    <mergeCell ref="P94:Q94"/>
    <mergeCell ref="G100:I100"/>
    <mergeCell ref="E102:E105"/>
    <mergeCell ref="D43:D44"/>
    <mergeCell ref="B45:B48"/>
    <mergeCell ref="D45:D46"/>
    <mergeCell ref="B50:B52"/>
    <mergeCell ref="A22:A36"/>
    <mergeCell ref="B26:B28"/>
    <mergeCell ref="B29:B32"/>
    <mergeCell ref="D30:D31"/>
    <mergeCell ref="B33:B36"/>
    <mergeCell ref="D35:D36"/>
    <mergeCell ref="A37:A53"/>
    <mergeCell ref="B37:B44"/>
    <mergeCell ref="D38:D39"/>
    <mergeCell ref="D40:D41"/>
    <mergeCell ref="A13:A14"/>
    <mergeCell ref="B12:C12"/>
    <mergeCell ref="B1:CX1"/>
    <mergeCell ref="A2:D2"/>
    <mergeCell ref="B3:C3"/>
    <mergeCell ref="B4:C4"/>
    <mergeCell ref="B5:C5"/>
    <mergeCell ref="B6:C6"/>
    <mergeCell ref="B7:C7"/>
    <mergeCell ref="B8:C8"/>
    <mergeCell ref="B9:C9"/>
    <mergeCell ref="B10:C10"/>
    <mergeCell ref="B11:C11"/>
    <mergeCell ref="B13:B14"/>
    <mergeCell ref="C13:C14"/>
  </mergeCells>
  <conditionalFormatting sqref="B11">
    <cfRule type="containsText" dxfId="64" priority="14" operator="containsText" text="NO">
      <formula>NOT(ISERROR(SEARCH("NO",B11)))</formula>
    </cfRule>
    <cfRule type="containsText" dxfId="63" priority="15" operator="containsText" text="SI">
      <formula>NOT(ISERROR(SEARCH("SI",B11)))</formula>
    </cfRule>
  </conditionalFormatting>
  <conditionalFormatting sqref="B15">
    <cfRule type="cellIs" dxfId="62" priority="19" stopIfTrue="1" operator="equal">
      <formula>"ANTIECONOMICO"</formula>
    </cfRule>
    <cfRule type="containsText" dxfId="61" priority="20" stopIfTrue="1" operator="containsText" text="ECONOMICO">
      <formula>NOT(ISERROR(SEARCH("ECONOMICO",B15)))</formula>
    </cfRule>
  </conditionalFormatting>
  <conditionalFormatting sqref="B16">
    <cfRule type="cellIs" dxfId="60" priority="21" stopIfTrue="1" operator="equal">
      <formula>"EFICAZ"</formula>
    </cfRule>
    <cfRule type="cellIs" dxfId="59" priority="22" stopIfTrue="1" operator="equal">
      <formula>"INEFICAZ"</formula>
    </cfRule>
  </conditionalFormatting>
  <conditionalFormatting sqref="B17">
    <cfRule type="cellIs" dxfId="58" priority="12" operator="equal">
      <formula>"DEFICIENTE"</formula>
    </cfRule>
    <cfRule type="containsText" dxfId="57" priority="13" operator="containsText" text="EFICIENTE">
      <formula>NOT(ISERROR(SEARCH("EFICIENTE",B17)))</formula>
    </cfRule>
  </conditionalFormatting>
  <conditionalFormatting sqref="B18">
    <cfRule type="containsText" dxfId="56" priority="16" operator="containsText" text="MODERADAMENTE EFECTIVO">
      <formula>NOT(ISERROR(SEARCH("MODERADAMENTE EFECTIVO",B18)))</formula>
    </cfRule>
    <cfRule type="containsText" dxfId="55" priority="17" stopIfTrue="1" operator="containsText" text="INEFECTIVO">
      <formula>NOT(ISERROR(SEARCH("INEFECTIVO",B18)))</formula>
    </cfRule>
    <cfRule type="containsText" dxfId="54" priority="18" stopIfTrue="1" operator="containsText" text="EFECTIVO">
      <formula>NOT(ISERROR(SEARCH("EFECTIVO",B18)))</formula>
    </cfRule>
  </conditionalFormatting>
  <conditionalFormatting sqref="F17:L17">
    <cfRule type="containsText" dxfId="53" priority="11" operator="containsText" text="FISCAL">
      <formula>NOT(ISERROR(SEARCH("FISCAL",F17)))</formula>
    </cfRule>
  </conditionalFormatting>
  <conditionalFormatting sqref="F16:CY16 E16:E17">
    <cfRule type="containsText" dxfId="52" priority="24" operator="containsText" text="FISCAL">
      <formula>NOT(ISERROR(SEARCH("FISCAL",E16)))</formula>
    </cfRule>
  </conditionalFormatting>
  <conditionalFormatting sqref="N17:AE17 AG17:CY17">
    <cfRule type="containsText" dxfId="51" priority="23" operator="containsText" text="FISCAL">
      <formula>NOT(ISERROR(SEARCH("FISCAL",N17)))</formula>
    </cfRule>
  </conditionalFormatting>
  <dataValidations count="12">
    <dataValidation type="decimal" allowBlank="1" showInputMessage="1" showErrorMessage="1" error="Cuantía del detrimento de la vigencia evaluada no puedo ser mayor al valor auditado de la vigencia evaluada del contrato" sqref="E17:CY17">
      <formula1>0</formula1>
      <formula2>E9</formula2>
    </dataValidation>
    <dataValidation type="decimal" allowBlank="1" showInputMessage="1" showErrorMessage="1" error="El valor auditado no puede ser mayor al valor del contrato" sqref="E9:CY9">
      <formula1>0</formula1>
      <formula2>E8</formula2>
    </dataValidation>
    <dataValidation allowBlank="1" showInputMessage="1" showErrorMessage="1" error="Cuantía del detrimento no puedo ser mayor al valor auditado del contrato" sqref="E18:CY18"/>
    <dataValidation type="whole" allowBlank="1" showInputMessage="1" showErrorMessage="1" sqref="C65379:C65414">
      <formula1>0</formula1>
      <formula2>99999999999</formula2>
    </dataValidation>
    <dataValidation type="decimal" allowBlank="1" showInputMessage="1" showErrorMessage="1" error="Solo se deben incorporar valores entre 0 a 100 o dejar la celda en blanco. " sqref="E22:CY69">
      <formula1>0</formula1>
      <formula2>1</formula2>
    </dataValidation>
    <dataValidation type="decimal" allowBlank="1" showInputMessage="1" showErrorMessage="1" sqref="E8:CY8 CZ8:XFD10">
      <formula1>0</formula1>
      <formula2>9.99999999999999E+22</formula2>
    </dataValidation>
    <dataValidation type="list" showInputMessage="1" showErrorMessage="1" sqref="E16:CY16">
      <formula1>HALLAZGOS</formula1>
    </dataValidation>
    <dataValidation type="whole" allowBlank="1" showInputMessage="1" showErrorMessage="1" sqref="B7">
      <formula1>0</formula1>
      <formula2>999999999999999</formula2>
    </dataValidation>
    <dataValidation type="list" allowBlank="1" showInputMessage="1" showErrorMessage="1" sqref="E14:CY14">
      <formula1>$A$65518:$A$65524</formula1>
    </dataValidation>
    <dataValidation type="list" allowBlank="1" showInputMessage="1" showErrorMessage="1" sqref="C64:C69">
      <formula1>$E$115:$E$117</formula1>
    </dataValidation>
    <dataValidation type="decimal" allowBlank="1" showInputMessage="1" showErrorMessage="1" error="Cuantía del detrimento no puedo ser mayor al valor total del contrato" sqref="E20:AE20">
      <formula1>0</formula1>
      <formula2>E10</formula2>
    </dataValidation>
    <dataValidation type="list" allowBlank="1" showInputMessage="1" showErrorMessage="1" sqref="E6:CY6">
      <formula1>$B$93:$B$94</formula1>
    </dataValidation>
  </dataValidations>
  <pageMargins left="0.7" right="0.7" top="0.75" bottom="0.75" header="0.3" footer="0.3"/>
  <drawing r:id="rId1"/>
  <legacyDrawing r:id="rId2"/>
  <tableParts count="5">
    <tablePart r:id="rId3"/>
    <tablePart r:id="rId4"/>
    <tablePart r:id="rId5"/>
    <tablePart r:id="rId6"/>
    <tablePart r:id="rId7"/>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7"/>
  <sheetViews>
    <sheetView workbookViewId="0">
      <selection activeCell="C22" sqref="C22"/>
    </sheetView>
  </sheetViews>
  <sheetFormatPr baseColWidth="10" defaultColWidth="11.42578125" defaultRowHeight="15" x14ac:dyDescent="0.25"/>
  <cols>
    <col min="1" max="2" width="31.5703125" customWidth="1"/>
    <col min="3" max="3" width="30.7109375" customWidth="1"/>
    <col min="4" max="4" width="32.28515625" style="394" customWidth="1"/>
    <col min="5" max="5" width="5.85546875" customWidth="1"/>
    <col min="6" max="6" width="31.140625" customWidth="1"/>
    <col min="7" max="7" width="28.7109375" customWidth="1"/>
    <col min="8" max="8" width="31.140625" customWidth="1"/>
    <col min="9" max="9" width="23.28515625" customWidth="1"/>
    <col min="10" max="10" width="20" customWidth="1"/>
    <col min="11" max="11" width="18.42578125" customWidth="1"/>
  </cols>
  <sheetData>
    <row r="2" spans="1:9" ht="45" x14ac:dyDescent="0.25">
      <c r="A2" s="892" t="s">
        <v>1605</v>
      </c>
      <c r="B2" s="893" t="s">
        <v>1606</v>
      </c>
      <c r="C2" s="893" t="s">
        <v>1607</v>
      </c>
      <c r="D2" s="893" t="s">
        <v>1608</v>
      </c>
      <c r="F2" s="894" t="s">
        <v>1605</v>
      </c>
      <c r="G2" s="893" t="s">
        <v>1608</v>
      </c>
      <c r="H2" s="893" t="s">
        <v>1609</v>
      </c>
      <c r="I2" s="893" t="s">
        <v>1610</v>
      </c>
    </row>
    <row r="3" spans="1:9" x14ac:dyDescent="0.25">
      <c r="A3" s="895" t="str">
        <f>+CONCATENATE(B3,C3)</f>
        <v>NegativaEfectivo</v>
      </c>
      <c r="B3" s="896" t="s">
        <v>538</v>
      </c>
      <c r="C3" s="897" t="s">
        <v>146</v>
      </c>
      <c r="D3" s="896" t="s">
        <v>1611</v>
      </c>
      <c r="F3" s="898" t="str">
        <f>+CONCATENATE(G3,H3)</f>
        <v>No RazonableNegativa</v>
      </c>
      <c r="G3" s="896" t="s">
        <v>1611</v>
      </c>
      <c r="H3" s="896" t="s">
        <v>538</v>
      </c>
      <c r="I3" s="896" t="s">
        <v>1612</v>
      </c>
    </row>
    <row r="4" spans="1:9" x14ac:dyDescent="0.25">
      <c r="A4" s="895" t="str">
        <f t="shared" ref="A4:A18" si="0">+CONCATENATE(B4,C4)</f>
        <v>NegativaModeradamente Efectivo</v>
      </c>
      <c r="B4" s="896" t="s">
        <v>538</v>
      </c>
      <c r="C4" s="899" t="s">
        <v>143</v>
      </c>
      <c r="D4" s="896" t="s">
        <v>1611</v>
      </c>
      <c r="F4" s="898" t="str">
        <f t="shared" ref="F4:F18" si="1">+CONCATENATE(G4,H4)</f>
        <v>No RazonableAbstención</v>
      </c>
      <c r="G4" s="896" t="s">
        <v>1611</v>
      </c>
      <c r="H4" s="896" t="s">
        <v>544</v>
      </c>
      <c r="I4" s="896" t="s">
        <v>1612</v>
      </c>
    </row>
    <row r="5" spans="1:9" x14ac:dyDescent="0.25">
      <c r="A5" s="895" t="str">
        <f t="shared" si="0"/>
        <v>NegativaInefectivo</v>
      </c>
      <c r="B5" s="896" t="s">
        <v>538</v>
      </c>
      <c r="C5" s="896" t="s">
        <v>131</v>
      </c>
      <c r="D5" s="896" t="s">
        <v>1611</v>
      </c>
      <c r="F5" s="898" t="str">
        <f t="shared" si="1"/>
        <v>No RazonableCon Salvedades</v>
      </c>
      <c r="G5" s="896" t="s">
        <v>1611</v>
      </c>
      <c r="H5" s="899" t="s">
        <v>534</v>
      </c>
      <c r="I5" s="896" t="s">
        <v>1612</v>
      </c>
    </row>
    <row r="6" spans="1:9" x14ac:dyDescent="0.25">
      <c r="A6" s="895" t="str">
        <f t="shared" si="0"/>
        <v>NegativaNO APLICA</v>
      </c>
      <c r="B6" s="896" t="s">
        <v>538</v>
      </c>
      <c r="C6" s="900" t="s">
        <v>460</v>
      </c>
      <c r="D6" s="896" t="s">
        <v>1611</v>
      </c>
      <c r="F6" s="898" t="str">
        <f t="shared" si="1"/>
        <v>No RazonableLimpia o Sin Salvedades</v>
      </c>
      <c r="G6" s="896" t="s">
        <v>1611</v>
      </c>
      <c r="H6" s="897" t="s">
        <v>529</v>
      </c>
      <c r="I6" s="896" t="s">
        <v>1612</v>
      </c>
    </row>
    <row r="7" spans="1:9" x14ac:dyDescent="0.25">
      <c r="A7" s="895" t="str">
        <f t="shared" si="0"/>
        <v>AbstenciónEfectivo</v>
      </c>
      <c r="B7" s="896" t="s">
        <v>544</v>
      </c>
      <c r="C7" s="897" t="s">
        <v>146</v>
      </c>
      <c r="D7" s="896" t="s">
        <v>544</v>
      </c>
      <c r="F7" s="898" t="str">
        <f t="shared" si="1"/>
        <v>AbstenciónNegativa</v>
      </c>
      <c r="G7" s="896" t="s">
        <v>544</v>
      </c>
      <c r="H7" s="896" t="s">
        <v>538</v>
      </c>
      <c r="I7" s="896" t="s">
        <v>1612</v>
      </c>
    </row>
    <row r="8" spans="1:9" x14ac:dyDescent="0.25">
      <c r="A8" s="895" t="str">
        <f t="shared" si="0"/>
        <v>AbstenciónModeradamente Efectivo</v>
      </c>
      <c r="B8" s="896" t="s">
        <v>544</v>
      </c>
      <c r="C8" s="899" t="s">
        <v>143</v>
      </c>
      <c r="D8" s="896" t="s">
        <v>544</v>
      </c>
      <c r="F8" s="898" t="str">
        <f t="shared" si="1"/>
        <v>AbstenciónAbstención</v>
      </c>
      <c r="G8" s="896" t="s">
        <v>544</v>
      </c>
      <c r="H8" s="896" t="s">
        <v>544</v>
      </c>
      <c r="I8" s="896" t="s">
        <v>1612</v>
      </c>
    </row>
    <row r="9" spans="1:9" x14ac:dyDescent="0.25">
      <c r="A9" s="895" t="str">
        <f t="shared" si="0"/>
        <v>AbstenciónInefectivo</v>
      </c>
      <c r="B9" s="896" t="s">
        <v>544</v>
      </c>
      <c r="C9" s="896" t="s">
        <v>131</v>
      </c>
      <c r="D9" s="896" t="s">
        <v>544</v>
      </c>
      <c r="F9" s="898" t="str">
        <f t="shared" si="1"/>
        <v>AbstenciónCon Salvedades</v>
      </c>
      <c r="G9" s="896" t="s">
        <v>544</v>
      </c>
      <c r="H9" s="899" t="s">
        <v>534</v>
      </c>
      <c r="I9" s="896" t="s">
        <v>1612</v>
      </c>
    </row>
    <row r="10" spans="1:9" x14ac:dyDescent="0.25">
      <c r="A10" s="895" t="str">
        <f t="shared" si="0"/>
        <v>AbstenciónNO APLICA</v>
      </c>
      <c r="B10" s="896" t="s">
        <v>544</v>
      </c>
      <c r="C10" s="900" t="s">
        <v>460</v>
      </c>
      <c r="D10" s="896" t="s">
        <v>544</v>
      </c>
      <c r="F10" s="898" t="str">
        <f t="shared" si="1"/>
        <v>AbstenciónLimpia o Sin Salvedades</v>
      </c>
      <c r="G10" s="896" t="s">
        <v>544</v>
      </c>
      <c r="H10" s="897" t="s">
        <v>529</v>
      </c>
      <c r="I10" s="896" t="s">
        <v>1612</v>
      </c>
    </row>
    <row r="11" spans="1:9" x14ac:dyDescent="0.25">
      <c r="A11" s="895" t="str">
        <f t="shared" si="0"/>
        <v>Con SalvedadesEfectivo</v>
      </c>
      <c r="B11" s="899" t="s">
        <v>534</v>
      </c>
      <c r="C11" s="897" t="s">
        <v>146</v>
      </c>
      <c r="D11" s="899" t="s">
        <v>534</v>
      </c>
      <c r="F11" s="898" t="str">
        <f t="shared" si="1"/>
        <v>Con SalvedadesNegativa</v>
      </c>
      <c r="G11" s="899" t="s">
        <v>534</v>
      </c>
      <c r="H11" s="896" t="s">
        <v>538</v>
      </c>
      <c r="I11" s="896" t="s">
        <v>1612</v>
      </c>
    </row>
    <row r="12" spans="1:9" x14ac:dyDescent="0.25">
      <c r="A12" s="895" t="str">
        <f t="shared" si="0"/>
        <v>Con SalvedadesModeradamente Efectivo</v>
      </c>
      <c r="B12" s="899" t="s">
        <v>534</v>
      </c>
      <c r="C12" s="899" t="s">
        <v>143</v>
      </c>
      <c r="D12" s="899" t="s">
        <v>534</v>
      </c>
      <c r="F12" s="898" t="str">
        <f t="shared" si="1"/>
        <v>Con SalvedadesAbstención</v>
      </c>
      <c r="G12" s="899" t="s">
        <v>534</v>
      </c>
      <c r="H12" s="896" t="s">
        <v>544</v>
      </c>
      <c r="I12" s="896" t="s">
        <v>1612</v>
      </c>
    </row>
    <row r="13" spans="1:9" x14ac:dyDescent="0.25">
      <c r="A13" s="895" t="str">
        <f t="shared" si="0"/>
        <v>Con SalvedadesInefectivo</v>
      </c>
      <c r="B13" s="899" t="s">
        <v>534</v>
      </c>
      <c r="C13" s="896" t="s">
        <v>131</v>
      </c>
      <c r="D13" s="896" t="s">
        <v>1613</v>
      </c>
      <c r="F13" s="898" t="str">
        <f t="shared" si="1"/>
        <v>Con SalvedadesCon Salvedades</v>
      </c>
      <c r="G13" s="899" t="s">
        <v>534</v>
      </c>
      <c r="H13" s="899" t="s">
        <v>534</v>
      </c>
      <c r="I13" s="901" t="s">
        <v>1614</v>
      </c>
    </row>
    <row r="14" spans="1:9" x14ac:dyDescent="0.25">
      <c r="A14" s="895" t="str">
        <f t="shared" si="0"/>
        <v>Con SalvedadesNO APLICA</v>
      </c>
      <c r="B14" s="899" t="s">
        <v>534</v>
      </c>
      <c r="C14" s="900" t="s">
        <v>460</v>
      </c>
      <c r="D14" s="899" t="s">
        <v>534</v>
      </c>
      <c r="F14" s="898" t="str">
        <f t="shared" si="1"/>
        <v>Con SalvedadesLimpia o Sin Salvedades</v>
      </c>
      <c r="G14" s="899" t="s">
        <v>534</v>
      </c>
      <c r="H14" s="897" t="s">
        <v>529</v>
      </c>
      <c r="I14" s="901" t="s">
        <v>1614</v>
      </c>
    </row>
    <row r="15" spans="1:9" x14ac:dyDescent="0.25">
      <c r="A15" s="895" t="str">
        <f t="shared" si="0"/>
        <v>Limpio o Sin SalvedadesEfectivo</v>
      </c>
      <c r="B15" s="897" t="s">
        <v>1615</v>
      </c>
      <c r="C15" s="897" t="s">
        <v>146</v>
      </c>
      <c r="D15" s="897" t="s">
        <v>854</v>
      </c>
      <c r="F15" s="898" t="str">
        <f t="shared" si="1"/>
        <v>RazonableNegativa</v>
      </c>
      <c r="G15" s="897" t="s">
        <v>854</v>
      </c>
      <c r="H15" s="896" t="s">
        <v>538</v>
      </c>
      <c r="I15" s="896" t="s">
        <v>1612</v>
      </c>
    </row>
    <row r="16" spans="1:9" x14ac:dyDescent="0.25">
      <c r="A16" s="895" t="str">
        <f t="shared" si="0"/>
        <v>Limpio o Sin SalvedadesModeradamente Efectivo</v>
      </c>
      <c r="B16" s="897" t="s">
        <v>1615</v>
      </c>
      <c r="C16" s="899" t="s">
        <v>143</v>
      </c>
      <c r="D16" s="897" t="s">
        <v>854</v>
      </c>
      <c r="F16" s="898" t="str">
        <f t="shared" si="1"/>
        <v>RazonableAbstención</v>
      </c>
      <c r="G16" s="897" t="s">
        <v>854</v>
      </c>
      <c r="H16" s="896" t="s">
        <v>544</v>
      </c>
      <c r="I16" s="896" t="s">
        <v>1612</v>
      </c>
    </row>
    <row r="17" spans="1:9" x14ac:dyDescent="0.25">
      <c r="A17" s="895" t="str">
        <f t="shared" si="0"/>
        <v>Limpio o Sin SalvedadesInefectivo</v>
      </c>
      <c r="B17" s="897" t="s">
        <v>1615</v>
      </c>
      <c r="C17" s="896" t="s">
        <v>131</v>
      </c>
      <c r="D17" s="896" t="s">
        <v>1611</v>
      </c>
      <c r="F17" s="898" t="str">
        <f t="shared" si="1"/>
        <v>RazonableCon Salvedades</v>
      </c>
      <c r="G17" s="897" t="s">
        <v>854</v>
      </c>
      <c r="H17" s="899" t="s">
        <v>534</v>
      </c>
      <c r="I17" s="901" t="s">
        <v>1614</v>
      </c>
    </row>
    <row r="18" spans="1:9" ht="15" customHeight="1" x14ac:dyDescent="0.25">
      <c r="A18" s="895" t="str">
        <f t="shared" si="0"/>
        <v>Limpio o Sin SalvedadesNO APLICA</v>
      </c>
      <c r="B18" s="897" t="s">
        <v>1615</v>
      </c>
      <c r="C18" s="900" t="s">
        <v>460</v>
      </c>
      <c r="D18" s="897" t="s">
        <v>854</v>
      </c>
      <c r="F18" s="898" t="str">
        <f t="shared" si="1"/>
        <v>RazonableLimpia o Sin Salvedades</v>
      </c>
      <c r="G18" s="897" t="s">
        <v>854</v>
      </c>
      <c r="H18" s="897" t="s">
        <v>529</v>
      </c>
      <c r="I18" s="901" t="s">
        <v>1614</v>
      </c>
    </row>
    <row r="25" spans="1:9" ht="30" x14ac:dyDescent="0.25">
      <c r="A25" s="892" t="s">
        <v>1605</v>
      </c>
      <c r="B25" s="893" t="s">
        <v>1616</v>
      </c>
      <c r="C25" s="893" t="s">
        <v>1617</v>
      </c>
      <c r="D25" s="893" t="s">
        <v>1609</v>
      </c>
    </row>
    <row r="26" spans="1:9" x14ac:dyDescent="0.25">
      <c r="A26" s="895" t="str">
        <f t="shared" ref="A26:A37" si="2">+CONCATENATE(B26,C26)</f>
        <v>NegativaEfectivo</v>
      </c>
      <c r="B26" s="896" t="s">
        <v>538</v>
      </c>
      <c r="C26" s="897" t="s">
        <v>146</v>
      </c>
      <c r="D26" s="896" t="s">
        <v>538</v>
      </c>
    </row>
    <row r="27" spans="1:9" x14ac:dyDescent="0.25">
      <c r="A27" s="895" t="str">
        <f t="shared" si="2"/>
        <v>NegativaInefectivo</v>
      </c>
      <c r="B27" s="896" t="s">
        <v>538</v>
      </c>
      <c r="C27" s="896" t="s">
        <v>131</v>
      </c>
      <c r="D27" s="896" t="s">
        <v>538</v>
      </c>
    </row>
    <row r="28" spans="1:9" x14ac:dyDescent="0.25">
      <c r="A28" s="895" t="str">
        <f t="shared" si="2"/>
        <v>NegativaNO APLICA</v>
      </c>
      <c r="B28" s="896" t="s">
        <v>538</v>
      </c>
      <c r="C28" s="899" t="s">
        <v>460</v>
      </c>
      <c r="D28" s="896" t="s">
        <v>538</v>
      </c>
    </row>
    <row r="29" spans="1:9" x14ac:dyDescent="0.25">
      <c r="A29" s="895" t="str">
        <f t="shared" si="2"/>
        <v>AbstenciónEfectivo</v>
      </c>
      <c r="B29" s="896" t="s">
        <v>544</v>
      </c>
      <c r="C29" s="897" t="s">
        <v>146</v>
      </c>
      <c r="D29" s="896" t="s">
        <v>544</v>
      </c>
    </row>
    <row r="30" spans="1:9" x14ac:dyDescent="0.25">
      <c r="A30" s="895" t="str">
        <f t="shared" si="2"/>
        <v>AbstenciónInefectivo</v>
      </c>
      <c r="B30" s="896" t="s">
        <v>544</v>
      </c>
      <c r="C30" s="896" t="s">
        <v>131</v>
      </c>
      <c r="D30" s="896" t="s">
        <v>544</v>
      </c>
    </row>
    <row r="31" spans="1:9" x14ac:dyDescent="0.25">
      <c r="A31" s="895" t="str">
        <f t="shared" si="2"/>
        <v>AbstenciónNO APLICA</v>
      </c>
      <c r="B31" s="896" t="s">
        <v>544</v>
      </c>
      <c r="C31" s="899" t="s">
        <v>460</v>
      </c>
      <c r="D31" s="896" t="s">
        <v>544</v>
      </c>
    </row>
    <row r="32" spans="1:9" x14ac:dyDescent="0.25">
      <c r="A32" s="895" t="str">
        <f t="shared" si="2"/>
        <v>Limpia o Sin SalvedadesEfectivo</v>
      </c>
      <c r="B32" s="897" t="s">
        <v>529</v>
      </c>
      <c r="C32" s="897" t="s">
        <v>146</v>
      </c>
      <c r="D32" s="897" t="s">
        <v>529</v>
      </c>
    </row>
    <row r="33" spans="1:4" x14ac:dyDescent="0.25">
      <c r="A33" s="895" t="str">
        <f t="shared" si="2"/>
        <v>Limpia o Sin SalvedadesInefectivo</v>
      </c>
      <c r="B33" s="897" t="s">
        <v>529</v>
      </c>
      <c r="C33" s="896" t="s">
        <v>131</v>
      </c>
      <c r="D33" s="897" t="s">
        <v>529</v>
      </c>
    </row>
    <row r="34" spans="1:4" x14ac:dyDescent="0.25">
      <c r="A34" s="895" t="str">
        <f t="shared" si="2"/>
        <v>Limpia o Sin SalvedadesNO APLICA</v>
      </c>
      <c r="B34" s="897" t="s">
        <v>529</v>
      </c>
      <c r="C34" s="899" t="s">
        <v>460</v>
      </c>
      <c r="D34" s="897" t="s">
        <v>529</v>
      </c>
    </row>
    <row r="35" spans="1:4" x14ac:dyDescent="0.25">
      <c r="A35" s="895" t="str">
        <f t="shared" si="2"/>
        <v>Con SalvedadesEfectivo</v>
      </c>
      <c r="B35" s="899" t="s">
        <v>534</v>
      </c>
      <c r="C35" s="897" t="s">
        <v>146</v>
      </c>
      <c r="D35" s="899" t="s">
        <v>534</v>
      </c>
    </row>
    <row r="36" spans="1:4" x14ac:dyDescent="0.25">
      <c r="A36" s="895" t="str">
        <f t="shared" si="2"/>
        <v>Con SalvedadesInefectivo</v>
      </c>
      <c r="B36" s="899" t="s">
        <v>534</v>
      </c>
      <c r="C36" s="896" t="s">
        <v>131</v>
      </c>
      <c r="D36" s="899" t="s">
        <v>534</v>
      </c>
    </row>
    <row r="37" spans="1:4" x14ac:dyDescent="0.25">
      <c r="A37" s="895" t="str">
        <f t="shared" si="2"/>
        <v>Con SalvedadesNO APLICA</v>
      </c>
      <c r="B37" s="899" t="s">
        <v>534</v>
      </c>
      <c r="C37" s="899" t="s">
        <v>460</v>
      </c>
      <c r="D37" s="899" t="s">
        <v>534</v>
      </c>
    </row>
  </sheetData>
  <conditionalFormatting sqref="B7:B10">
    <cfRule type="containsText" dxfId="20" priority="20" operator="containsText" text="Abstención">
      <formula>NOT(ISERROR(SEARCH("Abstención",B7)))</formula>
    </cfRule>
  </conditionalFormatting>
  <conditionalFormatting sqref="B29:B31">
    <cfRule type="containsText" dxfId="19" priority="14" operator="containsText" text="Abstención">
      <formula>NOT(ISERROR(SEARCH("Abstención",B29)))</formula>
    </cfRule>
  </conditionalFormatting>
  <conditionalFormatting sqref="D7:D10">
    <cfRule type="containsText" dxfId="18" priority="19" operator="containsText" text="Abstención">
      <formula>NOT(ISERROR(SEARCH("Abstención",D7)))</formula>
    </cfRule>
  </conditionalFormatting>
  <conditionalFormatting sqref="D29:D31">
    <cfRule type="containsText" dxfId="17" priority="12" operator="containsText" text="Abstención">
      <formula>NOT(ISERROR(SEARCH("Abstención",D29)))</formula>
    </cfRule>
  </conditionalFormatting>
  <conditionalFormatting sqref="G7:G10">
    <cfRule type="containsText" dxfId="16" priority="9" operator="containsText" text="Abstención">
      <formula>NOT(ISERROR(SEARCH("Abstención",G7)))</formula>
    </cfRule>
  </conditionalFormatting>
  <conditionalFormatting sqref="H4">
    <cfRule type="containsText" dxfId="15" priority="10" operator="containsText" text="Abstención">
      <formula>NOT(ISERROR(SEARCH("Abstención",H4)))</formula>
    </cfRule>
  </conditionalFormatting>
  <conditionalFormatting sqref="H8">
    <cfRule type="containsText" dxfId="14" priority="8" operator="containsText" text="Abstención">
      <formula>NOT(ISERROR(SEARCH("Abstención",H8)))</formula>
    </cfRule>
  </conditionalFormatting>
  <conditionalFormatting sqref="H12">
    <cfRule type="containsText" dxfId="13" priority="7" operator="containsText" text="Abstención">
      <formula>NOT(ISERROR(SEARCH("Abstención",H12)))</formula>
    </cfRule>
  </conditionalFormatting>
  <conditionalFormatting sqref="H16">
    <cfRule type="containsText" dxfId="12" priority="6" operator="containsText" text="Abstención">
      <formula>NOT(ISERROR(SEARCH("Abstención",H16)))</formula>
    </cfRule>
  </conditionalFormatting>
  <conditionalFormatting sqref="I3:I12">
    <cfRule type="containsText" dxfId="11" priority="1" operator="containsText" text="NO">
      <formula>NOT(ISERROR(SEARCH("NO",I3)))</formula>
    </cfRule>
  </conditionalFormatting>
  <conditionalFormatting sqref="I15:I16">
    <cfRule type="containsText" dxfId="10" priority="3" operator="containsText" text="NO">
      <formula>NOT(ISERROR(SEARCH("NO",I15)))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4"/>
  <sheetViews>
    <sheetView topLeftCell="D1" workbookViewId="0">
      <selection activeCell="H6" sqref="H6"/>
    </sheetView>
  </sheetViews>
  <sheetFormatPr baseColWidth="10" defaultColWidth="11.42578125" defaultRowHeight="15" x14ac:dyDescent="0.25"/>
  <cols>
    <col min="1" max="2" width="31.5703125" customWidth="1"/>
    <col min="3" max="3" width="30.7109375" customWidth="1"/>
    <col min="4" max="4" width="32.28515625" style="394" customWidth="1"/>
    <col min="5" max="5" width="5.85546875" customWidth="1"/>
    <col min="6" max="6" width="31.140625" customWidth="1"/>
    <col min="7" max="7" width="37.42578125" customWidth="1"/>
    <col min="8" max="8" width="40.28515625" customWidth="1"/>
    <col min="9" max="9" width="26.85546875" customWidth="1"/>
    <col min="10" max="10" width="20" customWidth="1"/>
    <col min="11" max="11" width="18.42578125" customWidth="1"/>
  </cols>
  <sheetData>
    <row r="2" spans="1:9" ht="30" x14ac:dyDescent="0.25">
      <c r="A2" s="892" t="s">
        <v>1605</v>
      </c>
      <c r="B2" s="893" t="s">
        <v>1606</v>
      </c>
      <c r="C2" s="893" t="s">
        <v>1607</v>
      </c>
      <c r="D2" s="893" t="s">
        <v>1608</v>
      </c>
      <c r="F2" s="894" t="s">
        <v>1605</v>
      </c>
      <c r="G2" s="893" t="s">
        <v>1608</v>
      </c>
      <c r="H2" s="893" t="s">
        <v>1609</v>
      </c>
      <c r="I2" s="893" t="s">
        <v>1610</v>
      </c>
    </row>
    <row r="3" spans="1:9" x14ac:dyDescent="0.25">
      <c r="A3" s="895" t="str">
        <f>+CONCATENATE(B3,C3)</f>
        <v>No RazonableFavorable</v>
      </c>
      <c r="B3" s="896" t="s">
        <v>1611</v>
      </c>
      <c r="C3" s="902" t="s">
        <v>1622</v>
      </c>
      <c r="D3" s="896" t="s">
        <v>1611</v>
      </c>
      <c r="F3" s="898" t="str">
        <f>+CONCATENATE(G3,H3)</f>
        <v>No RazonableNegativa</v>
      </c>
      <c r="G3" s="896" t="s">
        <v>1611</v>
      </c>
      <c r="H3" s="896" t="s">
        <v>538</v>
      </c>
      <c r="I3" s="896" t="s">
        <v>1612</v>
      </c>
    </row>
    <row r="4" spans="1:9" x14ac:dyDescent="0.25">
      <c r="A4" s="895" t="str">
        <f t="shared" ref="A4:A22" si="0">+CONCATENATE(B4,C4)</f>
        <v>No RazonableCon Observaciones</v>
      </c>
      <c r="B4" s="896" t="s">
        <v>1611</v>
      </c>
      <c r="C4" s="899" t="s">
        <v>1623</v>
      </c>
      <c r="D4" s="896" t="s">
        <v>1611</v>
      </c>
      <c r="F4" s="898" t="str">
        <f t="shared" ref="F4:F18" si="1">+CONCATENATE(G4,H4)</f>
        <v>No RazonableAbstención</v>
      </c>
      <c r="G4" s="896" t="s">
        <v>1611</v>
      </c>
      <c r="H4" s="896" t="s">
        <v>544</v>
      </c>
      <c r="I4" s="896" t="s">
        <v>1612</v>
      </c>
    </row>
    <row r="5" spans="1:9" x14ac:dyDescent="0.25">
      <c r="A5" s="895" t="str">
        <f t="shared" si="0"/>
        <v>No RazonableDesfavorable</v>
      </c>
      <c r="B5" s="896" t="s">
        <v>1611</v>
      </c>
      <c r="C5" s="896" t="s">
        <v>1624</v>
      </c>
      <c r="D5" s="896" t="s">
        <v>1611</v>
      </c>
      <c r="F5" s="898" t="str">
        <f t="shared" si="1"/>
        <v>No RazonableCon Salvedades</v>
      </c>
      <c r="G5" s="896" t="s">
        <v>1611</v>
      </c>
      <c r="H5" s="899" t="s">
        <v>534</v>
      </c>
      <c r="I5" s="896" t="s">
        <v>1612</v>
      </c>
    </row>
    <row r="6" spans="1:9" x14ac:dyDescent="0.25">
      <c r="A6" s="895" t="str">
        <f t="shared" si="0"/>
        <v>No RazonableNo Aplica</v>
      </c>
      <c r="B6" s="896" t="s">
        <v>1611</v>
      </c>
      <c r="C6" s="900" t="s">
        <v>1452</v>
      </c>
      <c r="D6" s="896" t="s">
        <v>1611</v>
      </c>
      <c r="F6" s="898" t="str">
        <f t="shared" si="1"/>
        <v>No RazonableLimpia o Sin Salvedades</v>
      </c>
      <c r="G6" s="896" t="s">
        <v>1611</v>
      </c>
      <c r="H6" s="897" t="s">
        <v>529</v>
      </c>
      <c r="I6" s="896" t="s">
        <v>1612</v>
      </c>
    </row>
    <row r="7" spans="1:9" x14ac:dyDescent="0.25">
      <c r="A7" s="895" t="str">
        <f t="shared" si="0"/>
        <v>AbstenciónFavorable</v>
      </c>
      <c r="B7" s="896" t="s">
        <v>544</v>
      </c>
      <c r="C7" s="902" t="s">
        <v>1622</v>
      </c>
      <c r="D7" s="896" t="s">
        <v>544</v>
      </c>
      <c r="F7" s="898" t="str">
        <f t="shared" si="1"/>
        <v>AbstenciónNegativa</v>
      </c>
      <c r="G7" s="896" t="s">
        <v>544</v>
      </c>
      <c r="H7" s="896" t="s">
        <v>538</v>
      </c>
      <c r="I7" s="896" t="s">
        <v>1612</v>
      </c>
    </row>
    <row r="8" spans="1:9" x14ac:dyDescent="0.25">
      <c r="A8" s="895" t="str">
        <f t="shared" si="0"/>
        <v>AbstenciónCon Observaciones</v>
      </c>
      <c r="B8" s="896" t="s">
        <v>544</v>
      </c>
      <c r="C8" s="899" t="s">
        <v>1623</v>
      </c>
      <c r="D8" s="896" t="s">
        <v>544</v>
      </c>
      <c r="F8" s="898" t="str">
        <f t="shared" si="1"/>
        <v>AbstenciónAbstención</v>
      </c>
      <c r="G8" s="896" t="s">
        <v>544</v>
      </c>
      <c r="H8" s="896" t="s">
        <v>544</v>
      </c>
      <c r="I8" s="896" t="s">
        <v>1612</v>
      </c>
    </row>
    <row r="9" spans="1:9" x14ac:dyDescent="0.25">
      <c r="A9" s="895" t="str">
        <f t="shared" si="0"/>
        <v>AbstenciónDesfavorable</v>
      </c>
      <c r="B9" s="896" t="s">
        <v>544</v>
      </c>
      <c r="C9" s="896" t="s">
        <v>1624</v>
      </c>
      <c r="D9" s="896" t="s">
        <v>544</v>
      </c>
      <c r="F9" s="898" t="str">
        <f t="shared" si="1"/>
        <v>AbstenciónCon Salvedades</v>
      </c>
      <c r="G9" s="896" t="s">
        <v>544</v>
      </c>
      <c r="H9" s="899" t="s">
        <v>534</v>
      </c>
      <c r="I9" s="896" t="s">
        <v>1612</v>
      </c>
    </row>
    <row r="10" spans="1:9" x14ac:dyDescent="0.25">
      <c r="A10" s="895" t="str">
        <f t="shared" si="0"/>
        <v>AbstenciónNo Aplica</v>
      </c>
      <c r="B10" s="896" t="s">
        <v>544</v>
      </c>
      <c r="C10" s="900" t="s">
        <v>1452</v>
      </c>
      <c r="D10" s="896" t="s">
        <v>544</v>
      </c>
      <c r="F10" s="898" t="str">
        <f t="shared" si="1"/>
        <v>AbstenciónLimpia o Sin Salvedades</v>
      </c>
      <c r="G10" s="896" t="s">
        <v>544</v>
      </c>
      <c r="H10" s="897" t="s">
        <v>529</v>
      </c>
      <c r="I10" s="896" t="s">
        <v>1612</v>
      </c>
    </row>
    <row r="11" spans="1:9" x14ac:dyDescent="0.25">
      <c r="A11" s="895" t="str">
        <f t="shared" si="0"/>
        <v>Con SalvedadesFavorable</v>
      </c>
      <c r="B11" s="899" t="s">
        <v>534</v>
      </c>
      <c r="C11" s="902" t="s">
        <v>1622</v>
      </c>
      <c r="D11" s="899" t="s">
        <v>534</v>
      </c>
      <c r="F11" s="898" t="str">
        <f t="shared" si="1"/>
        <v>Con SalvedadesNegativa</v>
      </c>
      <c r="G11" s="899" t="s">
        <v>534</v>
      </c>
      <c r="H11" s="896" t="s">
        <v>538</v>
      </c>
      <c r="I11" s="896" t="s">
        <v>1612</v>
      </c>
    </row>
    <row r="12" spans="1:9" x14ac:dyDescent="0.25">
      <c r="A12" s="895" t="str">
        <f t="shared" si="0"/>
        <v>Con SalvedadesCon Observaciones</v>
      </c>
      <c r="B12" s="899" t="s">
        <v>534</v>
      </c>
      <c r="C12" s="899" t="s">
        <v>1623</v>
      </c>
      <c r="D12" s="899" t="s">
        <v>534</v>
      </c>
      <c r="F12" s="898" t="str">
        <f t="shared" si="1"/>
        <v>Con SalvedadesAbstención</v>
      </c>
      <c r="G12" s="899" t="s">
        <v>534</v>
      </c>
      <c r="H12" s="896" t="s">
        <v>544</v>
      </c>
      <c r="I12" s="896" t="s">
        <v>1612</v>
      </c>
    </row>
    <row r="13" spans="1:9" x14ac:dyDescent="0.25">
      <c r="A13" s="895" t="str">
        <f t="shared" si="0"/>
        <v>Con SalvedadesDesfavorable</v>
      </c>
      <c r="B13" s="899" t="s">
        <v>534</v>
      </c>
      <c r="C13" s="896" t="s">
        <v>1624</v>
      </c>
      <c r="D13" s="896" t="s">
        <v>1613</v>
      </c>
      <c r="F13" s="898" t="str">
        <f t="shared" si="1"/>
        <v>Con SalvedadesCon Salvedades</v>
      </c>
      <c r="G13" s="899" t="s">
        <v>534</v>
      </c>
      <c r="H13" s="899" t="s">
        <v>534</v>
      </c>
      <c r="I13" s="901" t="s">
        <v>1614</v>
      </c>
    </row>
    <row r="14" spans="1:9" x14ac:dyDescent="0.25">
      <c r="A14" s="895" t="str">
        <f t="shared" si="0"/>
        <v>Con SalvedadesNo Aplica</v>
      </c>
      <c r="B14" s="899" t="s">
        <v>534</v>
      </c>
      <c r="C14" s="900" t="s">
        <v>1452</v>
      </c>
      <c r="D14" s="899" t="s">
        <v>534</v>
      </c>
      <c r="F14" s="898" t="str">
        <f t="shared" si="1"/>
        <v>Con SalvedadesLimpia o Sin Salvedades</v>
      </c>
      <c r="G14" s="899" t="s">
        <v>534</v>
      </c>
      <c r="H14" s="897" t="s">
        <v>529</v>
      </c>
      <c r="I14" s="901" t="s">
        <v>1614</v>
      </c>
    </row>
    <row r="15" spans="1:9" x14ac:dyDescent="0.25">
      <c r="A15" s="895" t="str">
        <f t="shared" si="0"/>
        <v>RazonableFavorable</v>
      </c>
      <c r="B15" s="902" t="s">
        <v>854</v>
      </c>
      <c r="C15" s="902" t="s">
        <v>1622</v>
      </c>
      <c r="D15" s="902" t="s">
        <v>854</v>
      </c>
      <c r="F15" s="898" t="str">
        <f t="shared" si="1"/>
        <v>RazonableNegativa</v>
      </c>
      <c r="G15" s="897" t="s">
        <v>854</v>
      </c>
      <c r="H15" s="896" t="s">
        <v>538</v>
      </c>
      <c r="I15" s="896" t="s">
        <v>1612</v>
      </c>
    </row>
    <row r="16" spans="1:9" x14ac:dyDescent="0.25">
      <c r="A16" s="895" t="str">
        <f t="shared" si="0"/>
        <v>RazonableCon Observaciones</v>
      </c>
      <c r="B16" s="902" t="s">
        <v>854</v>
      </c>
      <c r="C16" s="899" t="s">
        <v>1623</v>
      </c>
      <c r="D16" s="902" t="s">
        <v>854</v>
      </c>
      <c r="F16" s="898" t="str">
        <f t="shared" si="1"/>
        <v>RazonableAbstención</v>
      </c>
      <c r="G16" s="897" t="s">
        <v>854</v>
      </c>
      <c r="H16" s="896" t="s">
        <v>544</v>
      </c>
      <c r="I16" s="896" t="s">
        <v>1612</v>
      </c>
    </row>
    <row r="17" spans="1:9" x14ac:dyDescent="0.25">
      <c r="A17" s="895" t="str">
        <f t="shared" si="0"/>
        <v>RazonableDesfavorable</v>
      </c>
      <c r="B17" s="902" t="s">
        <v>854</v>
      </c>
      <c r="C17" s="896" t="s">
        <v>1624</v>
      </c>
      <c r="D17" s="896" t="s">
        <v>1611</v>
      </c>
      <c r="F17" s="898" t="str">
        <f t="shared" si="1"/>
        <v>RazonableCon Salvedades</v>
      </c>
      <c r="G17" s="897" t="s">
        <v>854</v>
      </c>
      <c r="H17" s="899" t="s">
        <v>534</v>
      </c>
      <c r="I17" s="901" t="s">
        <v>1614</v>
      </c>
    </row>
    <row r="18" spans="1:9" ht="15" customHeight="1" x14ac:dyDescent="0.25">
      <c r="A18" s="895" t="str">
        <f t="shared" si="0"/>
        <v>RazonableNo Aplica</v>
      </c>
      <c r="B18" s="902" t="s">
        <v>854</v>
      </c>
      <c r="C18" s="900" t="s">
        <v>1452</v>
      </c>
      <c r="D18" s="902" t="s">
        <v>854</v>
      </c>
      <c r="F18" s="898" t="str">
        <f t="shared" si="1"/>
        <v>RazonableLimpia o Sin Salvedades</v>
      </c>
      <c r="G18" s="897" t="s">
        <v>854</v>
      </c>
      <c r="H18" s="897" t="s">
        <v>529</v>
      </c>
      <c r="I18" s="901" t="s">
        <v>1614</v>
      </c>
    </row>
    <row r="19" spans="1:9" x14ac:dyDescent="0.25">
      <c r="A19" s="895" t="str">
        <f t="shared" si="0"/>
        <v>No AplicaFavorable</v>
      </c>
      <c r="B19" s="900" t="s">
        <v>1452</v>
      </c>
      <c r="C19" s="902" t="s">
        <v>1622</v>
      </c>
      <c r="D19" s="902" t="s">
        <v>854</v>
      </c>
    </row>
    <row r="20" spans="1:9" x14ac:dyDescent="0.25">
      <c r="A20" s="895" t="str">
        <f t="shared" si="0"/>
        <v>No AplicaCon Observaciones</v>
      </c>
      <c r="B20" s="900" t="s">
        <v>1452</v>
      </c>
      <c r="C20" s="899" t="s">
        <v>1623</v>
      </c>
      <c r="D20" s="899" t="s">
        <v>534</v>
      </c>
    </row>
    <row r="21" spans="1:9" x14ac:dyDescent="0.25">
      <c r="A21" s="895" t="str">
        <f t="shared" si="0"/>
        <v>No AplicaDesfavorable</v>
      </c>
      <c r="B21" s="900" t="s">
        <v>1452</v>
      </c>
      <c r="C21" s="896" t="s">
        <v>1624</v>
      </c>
      <c r="D21" s="896" t="s">
        <v>1611</v>
      </c>
    </row>
    <row r="22" spans="1:9" x14ac:dyDescent="0.25">
      <c r="A22" s="895" t="str">
        <f t="shared" si="0"/>
        <v>No AplicaNo Aplica</v>
      </c>
      <c r="B22" s="900" t="s">
        <v>1452</v>
      </c>
      <c r="C22" s="900" t="s">
        <v>1452</v>
      </c>
      <c r="D22" s="900" t="s">
        <v>1452</v>
      </c>
    </row>
    <row r="26" spans="1:9" ht="30" x14ac:dyDescent="0.25">
      <c r="A26" s="892" t="s">
        <v>1605</v>
      </c>
      <c r="B26" s="893" t="s">
        <v>1616</v>
      </c>
      <c r="C26" s="893" t="s">
        <v>1617</v>
      </c>
      <c r="D26" s="893" t="s">
        <v>1609</v>
      </c>
      <c r="F26" s="892" t="s">
        <v>1605</v>
      </c>
      <c r="G26" s="892" t="s">
        <v>1625</v>
      </c>
      <c r="H26" s="892" t="s">
        <v>1626</v>
      </c>
      <c r="I26" s="892" t="s">
        <v>1627</v>
      </c>
    </row>
    <row r="27" spans="1:9" x14ac:dyDescent="0.25">
      <c r="A27" s="895" t="str">
        <f t="shared" ref="A27:A38" si="2">+CONCATENATE(B27,C27)</f>
        <v>NegativaEfectivo</v>
      </c>
      <c r="B27" s="896" t="s">
        <v>538</v>
      </c>
      <c r="C27" s="897" t="s">
        <v>146</v>
      </c>
      <c r="D27" s="896" t="s">
        <v>538</v>
      </c>
      <c r="F27" s="895" t="str">
        <f>+CONCATENATE(G27,H27)</f>
        <v>DesfavorableFavorable</v>
      </c>
      <c r="G27" s="907" t="s">
        <v>1624</v>
      </c>
      <c r="H27" s="902" t="s">
        <v>1622</v>
      </c>
      <c r="I27" s="907" t="s">
        <v>1624</v>
      </c>
    </row>
    <row r="28" spans="1:9" x14ac:dyDescent="0.25">
      <c r="A28" s="895" t="str">
        <f t="shared" si="2"/>
        <v>NegativaInefectivo</v>
      </c>
      <c r="B28" s="896" t="s">
        <v>538</v>
      </c>
      <c r="C28" s="896" t="s">
        <v>131</v>
      </c>
      <c r="D28" s="896" t="s">
        <v>538</v>
      </c>
      <c r="F28" s="895" t="str">
        <f t="shared" ref="F28:F35" si="3">+CONCATENATE(G28,H28)</f>
        <v>DesfavorableCon Observaciones</v>
      </c>
      <c r="G28" s="907" t="s">
        <v>1624</v>
      </c>
      <c r="H28" s="908" t="s">
        <v>1623</v>
      </c>
      <c r="I28" s="907" t="s">
        <v>1624</v>
      </c>
    </row>
    <row r="29" spans="1:9" x14ac:dyDescent="0.25">
      <c r="A29" s="895" t="str">
        <f t="shared" si="2"/>
        <v>NegativaNO APLICA</v>
      </c>
      <c r="B29" s="896" t="s">
        <v>538</v>
      </c>
      <c r="C29" s="899" t="s">
        <v>460</v>
      </c>
      <c r="D29" s="896" t="s">
        <v>538</v>
      </c>
      <c r="F29" s="895" t="str">
        <f t="shared" si="3"/>
        <v>DesfavorableDesfavorable</v>
      </c>
      <c r="G29" s="907" t="s">
        <v>1624</v>
      </c>
      <c r="H29" s="907" t="s">
        <v>1624</v>
      </c>
      <c r="I29" s="907" t="s">
        <v>1624</v>
      </c>
    </row>
    <row r="30" spans="1:9" x14ac:dyDescent="0.25">
      <c r="A30" s="895" t="str">
        <f t="shared" si="2"/>
        <v>AbstenciónEfectivo</v>
      </c>
      <c r="B30" s="896" t="s">
        <v>544</v>
      </c>
      <c r="C30" s="897" t="s">
        <v>146</v>
      </c>
      <c r="D30" s="896" t="s">
        <v>544</v>
      </c>
      <c r="F30" s="895" t="str">
        <f t="shared" si="3"/>
        <v>FavorableFavorable</v>
      </c>
      <c r="G30" s="902" t="s">
        <v>1622</v>
      </c>
      <c r="H30" s="902" t="s">
        <v>1622</v>
      </c>
      <c r="I30" s="902" t="s">
        <v>1622</v>
      </c>
    </row>
    <row r="31" spans="1:9" x14ac:dyDescent="0.25">
      <c r="A31" s="895" t="str">
        <f t="shared" si="2"/>
        <v>AbstenciónInefectivo</v>
      </c>
      <c r="B31" s="896" t="s">
        <v>544</v>
      </c>
      <c r="C31" s="896" t="s">
        <v>131</v>
      </c>
      <c r="D31" s="896" t="s">
        <v>544</v>
      </c>
      <c r="F31" s="895" t="str">
        <f t="shared" si="3"/>
        <v>FavorableCon Observaciones</v>
      </c>
      <c r="G31" s="902" t="s">
        <v>1622</v>
      </c>
      <c r="H31" s="908" t="s">
        <v>1623</v>
      </c>
      <c r="I31" s="902" t="s">
        <v>1622</v>
      </c>
    </row>
    <row r="32" spans="1:9" x14ac:dyDescent="0.25">
      <c r="A32" s="895" t="str">
        <f t="shared" si="2"/>
        <v>AbstenciónNO APLICA</v>
      </c>
      <c r="B32" s="896" t="s">
        <v>544</v>
      </c>
      <c r="C32" s="899" t="s">
        <v>460</v>
      </c>
      <c r="D32" s="896" t="s">
        <v>544</v>
      </c>
      <c r="F32" s="895" t="str">
        <f t="shared" si="3"/>
        <v>FavorableDesfavorable</v>
      </c>
      <c r="G32" s="902" t="s">
        <v>1622</v>
      </c>
      <c r="H32" s="907" t="s">
        <v>1624</v>
      </c>
      <c r="I32" s="907" t="s">
        <v>1624</v>
      </c>
    </row>
    <row r="33" spans="1:9" x14ac:dyDescent="0.25">
      <c r="A33" s="895" t="str">
        <f t="shared" si="2"/>
        <v>Limpia o Sin SalvedadesEfectivo</v>
      </c>
      <c r="B33" s="897" t="s">
        <v>529</v>
      </c>
      <c r="C33" s="897" t="s">
        <v>146</v>
      </c>
      <c r="D33" s="897" t="s">
        <v>529</v>
      </c>
      <c r="F33" s="895" t="str">
        <f t="shared" si="3"/>
        <v>Con ObservacionesFavorable</v>
      </c>
      <c r="G33" s="908" t="s">
        <v>1623</v>
      </c>
      <c r="H33" s="902" t="s">
        <v>1622</v>
      </c>
      <c r="I33" s="902" t="s">
        <v>1622</v>
      </c>
    </row>
    <row r="34" spans="1:9" x14ac:dyDescent="0.25">
      <c r="A34" s="895" t="str">
        <f t="shared" si="2"/>
        <v>Limpia o Sin SalvedadesInefectivo</v>
      </c>
      <c r="B34" s="897" t="s">
        <v>529</v>
      </c>
      <c r="C34" s="896" t="s">
        <v>131</v>
      </c>
      <c r="D34" s="897" t="s">
        <v>529</v>
      </c>
      <c r="F34" s="895" t="str">
        <f t="shared" si="3"/>
        <v>Con ObservacionesCon Observaciones</v>
      </c>
      <c r="G34" s="908" t="s">
        <v>1623</v>
      </c>
      <c r="H34" s="908" t="s">
        <v>1623</v>
      </c>
      <c r="I34" s="908" t="s">
        <v>1623</v>
      </c>
    </row>
    <row r="35" spans="1:9" x14ac:dyDescent="0.25">
      <c r="A35" s="895" t="str">
        <f t="shared" si="2"/>
        <v>Limpia o Sin SalvedadesNO APLICA</v>
      </c>
      <c r="B35" s="897" t="s">
        <v>529</v>
      </c>
      <c r="C35" s="899" t="s">
        <v>460</v>
      </c>
      <c r="D35" s="897" t="s">
        <v>529</v>
      </c>
      <c r="F35" s="895" t="str">
        <f t="shared" si="3"/>
        <v>Con ObservacionesDesfavorable</v>
      </c>
      <c r="G35" s="908" t="s">
        <v>1623</v>
      </c>
      <c r="H35" s="907" t="s">
        <v>1624</v>
      </c>
      <c r="I35" s="907" t="s">
        <v>1624</v>
      </c>
    </row>
    <row r="36" spans="1:9" x14ac:dyDescent="0.25">
      <c r="A36" s="895" t="str">
        <f t="shared" si="2"/>
        <v>Con SalvedadesEfectivo</v>
      </c>
      <c r="B36" s="899" t="s">
        <v>534</v>
      </c>
      <c r="C36" s="897" t="s">
        <v>146</v>
      </c>
      <c r="D36" s="899" t="s">
        <v>534</v>
      </c>
    </row>
    <row r="37" spans="1:9" x14ac:dyDescent="0.25">
      <c r="A37" s="895" t="str">
        <f t="shared" si="2"/>
        <v>Con SalvedadesInefectivo</v>
      </c>
      <c r="B37" s="899" t="s">
        <v>534</v>
      </c>
      <c r="C37" s="896" t="s">
        <v>131</v>
      </c>
      <c r="D37" s="899" t="s">
        <v>534</v>
      </c>
    </row>
    <row r="38" spans="1:9" x14ac:dyDescent="0.25">
      <c r="A38" s="895" t="str">
        <f t="shared" si="2"/>
        <v>Con SalvedadesNO APLICA</v>
      </c>
      <c r="B38" s="899" t="s">
        <v>534</v>
      </c>
      <c r="C38" s="899" t="s">
        <v>460</v>
      </c>
      <c r="D38" s="899" t="s">
        <v>534</v>
      </c>
    </row>
    <row r="39" spans="1:9" ht="30" x14ac:dyDescent="0.25">
      <c r="F39" s="892" t="s">
        <v>1605</v>
      </c>
      <c r="G39" s="892" t="s">
        <v>1649</v>
      </c>
      <c r="H39" s="892" t="s">
        <v>1650</v>
      </c>
      <c r="I39" s="892" t="s">
        <v>1651</v>
      </c>
    </row>
    <row r="40" spans="1:9" x14ac:dyDescent="0.25">
      <c r="D40" s="394" t="str">
        <f>IF(D87="SI","Razonable",IF(D88="SI","Con Salvedades",IF(AND(D89="SI",D90="Predomina Incorrecciones"),"No Razonable",IF(AND(D89="SI",D90="Predomina Imposibilidades"),"Abstención",""))))</f>
        <v/>
      </c>
      <c r="F40" s="895" t="str">
        <f>+CONCATENATE(G40,H40)</f>
        <v>No RazonableNo Razonable</v>
      </c>
      <c r="G40" s="896" t="s">
        <v>1611</v>
      </c>
      <c r="H40" s="896" t="s">
        <v>1611</v>
      </c>
      <c r="I40" s="896" t="s">
        <v>1611</v>
      </c>
    </row>
    <row r="41" spans="1:9" x14ac:dyDescent="0.25">
      <c r="F41" s="895" t="str">
        <f t="shared" ref="F41:F64" si="4">+CONCATENATE(G41,H41)</f>
        <v>No RazonableAbstención</v>
      </c>
      <c r="G41" s="896" t="s">
        <v>1611</v>
      </c>
      <c r="H41" s="896" t="s">
        <v>544</v>
      </c>
      <c r="I41" s="896" t="s">
        <v>544</v>
      </c>
    </row>
    <row r="42" spans="1:9" x14ac:dyDescent="0.25">
      <c r="F42" s="895" t="str">
        <f t="shared" si="4"/>
        <v>No RazonableCon Salvedades</v>
      </c>
      <c r="G42" s="896" t="s">
        <v>1611</v>
      </c>
      <c r="H42" s="899" t="s">
        <v>534</v>
      </c>
      <c r="I42" s="896" t="s">
        <v>1611</v>
      </c>
    </row>
    <row r="43" spans="1:9" x14ac:dyDescent="0.25">
      <c r="F43" s="895" t="str">
        <f t="shared" si="4"/>
        <v>No RazonableRazonable</v>
      </c>
      <c r="G43" s="896" t="s">
        <v>1611</v>
      </c>
      <c r="H43" s="902" t="s">
        <v>854</v>
      </c>
      <c r="I43" s="896" t="s">
        <v>1611</v>
      </c>
    </row>
    <row r="44" spans="1:9" x14ac:dyDescent="0.25">
      <c r="F44" s="895" t="str">
        <f t="shared" si="4"/>
        <v>No RazonableNo Aplica</v>
      </c>
      <c r="G44" s="896" t="s">
        <v>1611</v>
      </c>
      <c r="H44" s="900" t="s">
        <v>1452</v>
      </c>
      <c r="I44" s="896" t="s">
        <v>1611</v>
      </c>
    </row>
    <row r="45" spans="1:9" x14ac:dyDescent="0.25">
      <c r="F45" s="895" t="str">
        <f t="shared" si="4"/>
        <v>AbstenciónNo Razonable</v>
      </c>
      <c r="G45" s="896" t="s">
        <v>544</v>
      </c>
      <c r="H45" s="896" t="s">
        <v>1611</v>
      </c>
      <c r="I45" s="896" t="s">
        <v>544</v>
      </c>
    </row>
    <row r="46" spans="1:9" x14ac:dyDescent="0.25">
      <c r="F46" s="895" t="str">
        <f t="shared" si="4"/>
        <v>AbstenciónAbstención</v>
      </c>
      <c r="G46" s="896" t="s">
        <v>544</v>
      </c>
      <c r="H46" s="896" t="s">
        <v>544</v>
      </c>
      <c r="I46" s="896" t="s">
        <v>544</v>
      </c>
    </row>
    <row r="47" spans="1:9" x14ac:dyDescent="0.25">
      <c r="F47" s="895" t="str">
        <f t="shared" si="4"/>
        <v>AbstenciónCon Salvedades</v>
      </c>
      <c r="G47" s="896" t="s">
        <v>544</v>
      </c>
      <c r="H47" s="899" t="s">
        <v>534</v>
      </c>
      <c r="I47" s="896" t="s">
        <v>544</v>
      </c>
    </row>
    <row r="48" spans="1:9" x14ac:dyDescent="0.25">
      <c r="F48" s="895" t="str">
        <f t="shared" si="4"/>
        <v>AbstenciónRazonable</v>
      </c>
      <c r="G48" s="896" t="s">
        <v>544</v>
      </c>
      <c r="H48" s="902" t="s">
        <v>854</v>
      </c>
      <c r="I48" s="896" t="s">
        <v>544</v>
      </c>
    </row>
    <row r="49" spans="6:9" x14ac:dyDescent="0.25">
      <c r="F49" s="895" t="str">
        <f t="shared" si="4"/>
        <v>AbstenciónNo Aplica</v>
      </c>
      <c r="G49" s="896" t="s">
        <v>544</v>
      </c>
      <c r="H49" s="900" t="s">
        <v>1452</v>
      </c>
      <c r="I49" s="896" t="s">
        <v>544</v>
      </c>
    </row>
    <row r="50" spans="6:9" x14ac:dyDescent="0.25">
      <c r="F50" s="895" t="str">
        <f t="shared" si="4"/>
        <v>Con SalvedadesNo Razonable</v>
      </c>
      <c r="G50" s="899" t="s">
        <v>534</v>
      </c>
      <c r="H50" s="896" t="s">
        <v>1611</v>
      </c>
      <c r="I50" s="896" t="s">
        <v>1611</v>
      </c>
    </row>
    <row r="51" spans="6:9" x14ac:dyDescent="0.25">
      <c r="F51" s="895" t="str">
        <f t="shared" si="4"/>
        <v>Con SalvedadesAbstención</v>
      </c>
      <c r="G51" s="899" t="s">
        <v>534</v>
      </c>
      <c r="H51" s="896" t="s">
        <v>544</v>
      </c>
      <c r="I51" s="896" t="s">
        <v>544</v>
      </c>
    </row>
    <row r="52" spans="6:9" x14ac:dyDescent="0.25">
      <c r="F52" s="895" t="str">
        <f t="shared" si="4"/>
        <v>Con SalvedadesCon Salvedades</v>
      </c>
      <c r="G52" s="899" t="s">
        <v>534</v>
      </c>
      <c r="H52" s="899" t="s">
        <v>534</v>
      </c>
      <c r="I52" s="899" t="s">
        <v>534</v>
      </c>
    </row>
    <row r="53" spans="6:9" x14ac:dyDescent="0.25">
      <c r="F53" s="895" t="str">
        <f t="shared" si="4"/>
        <v>Con SalvedadesRazonable</v>
      </c>
      <c r="G53" s="899" t="s">
        <v>534</v>
      </c>
      <c r="H53" s="902" t="s">
        <v>854</v>
      </c>
      <c r="I53" s="899" t="s">
        <v>534</v>
      </c>
    </row>
    <row r="54" spans="6:9" x14ac:dyDescent="0.25">
      <c r="F54" s="895" t="str">
        <f t="shared" si="4"/>
        <v>Con SalvedadesNo Aplica</v>
      </c>
      <c r="G54" s="899" t="s">
        <v>534</v>
      </c>
      <c r="H54" s="900" t="s">
        <v>1452</v>
      </c>
      <c r="I54" s="899" t="s">
        <v>534</v>
      </c>
    </row>
    <row r="55" spans="6:9" x14ac:dyDescent="0.25">
      <c r="F55" s="895" t="str">
        <f t="shared" si="4"/>
        <v>RazonableNo Razonable</v>
      </c>
      <c r="G55" s="902" t="s">
        <v>854</v>
      </c>
      <c r="H55" s="896" t="s">
        <v>1611</v>
      </c>
      <c r="I55" s="896" t="s">
        <v>1611</v>
      </c>
    </row>
    <row r="56" spans="6:9" x14ac:dyDescent="0.25">
      <c r="F56" s="895" t="str">
        <f t="shared" si="4"/>
        <v>RazonableAbstención</v>
      </c>
      <c r="G56" s="902" t="s">
        <v>854</v>
      </c>
      <c r="H56" s="896" t="s">
        <v>544</v>
      </c>
      <c r="I56" s="896" t="s">
        <v>544</v>
      </c>
    </row>
    <row r="57" spans="6:9" x14ac:dyDescent="0.25">
      <c r="F57" s="895" t="str">
        <f t="shared" si="4"/>
        <v>RazonableCon Salvedades</v>
      </c>
      <c r="G57" s="902" t="s">
        <v>854</v>
      </c>
      <c r="H57" s="899" t="s">
        <v>534</v>
      </c>
      <c r="I57" s="899" t="s">
        <v>534</v>
      </c>
    </row>
    <row r="58" spans="6:9" x14ac:dyDescent="0.25">
      <c r="F58" s="895" t="str">
        <f t="shared" si="4"/>
        <v>RazonableRazonable</v>
      </c>
      <c r="G58" s="902" t="s">
        <v>854</v>
      </c>
      <c r="H58" s="902" t="s">
        <v>854</v>
      </c>
      <c r="I58" s="902" t="s">
        <v>854</v>
      </c>
    </row>
    <row r="59" spans="6:9" x14ac:dyDescent="0.25">
      <c r="F59" s="895" t="str">
        <f t="shared" si="4"/>
        <v>RazonableNo Aplica</v>
      </c>
      <c r="G59" s="902" t="s">
        <v>854</v>
      </c>
      <c r="H59" s="900" t="s">
        <v>1452</v>
      </c>
      <c r="I59" s="902" t="s">
        <v>854</v>
      </c>
    </row>
    <row r="60" spans="6:9" x14ac:dyDescent="0.25">
      <c r="F60" s="895" t="str">
        <f t="shared" si="4"/>
        <v>No AplicaNo Razonable</v>
      </c>
      <c r="G60" s="900" t="s">
        <v>1452</v>
      </c>
      <c r="H60" s="896" t="s">
        <v>1611</v>
      </c>
      <c r="I60" s="896" t="s">
        <v>1611</v>
      </c>
    </row>
    <row r="61" spans="6:9" x14ac:dyDescent="0.25">
      <c r="F61" s="895" t="str">
        <f t="shared" si="4"/>
        <v>No AplicaAbstención</v>
      </c>
      <c r="G61" s="900" t="s">
        <v>1452</v>
      </c>
      <c r="H61" s="896" t="s">
        <v>544</v>
      </c>
      <c r="I61" s="896" t="s">
        <v>544</v>
      </c>
    </row>
    <row r="62" spans="6:9" x14ac:dyDescent="0.25">
      <c r="F62" s="895" t="str">
        <f t="shared" si="4"/>
        <v>No AplicaCon Salvedades</v>
      </c>
      <c r="G62" s="900" t="s">
        <v>1452</v>
      </c>
      <c r="H62" s="899" t="s">
        <v>534</v>
      </c>
      <c r="I62" s="899" t="s">
        <v>534</v>
      </c>
    </row>
    <row r="63" spans="6:9" x14ac:dyDescent="0.25">
      <c r="F63" s="895" t="str">
        <f t="shared" si="4"/>
        <v>No AplicaRazonable</v>
      </c>
      <c r="G63" s="900" t="s">
        <v>1452</v>
      </c>
      <c r="H63" s="902" t="s">
        <v>854</v>
      </c>
      <c r="I63" s="902" t="s">
        <v>854</v>
      </c>
    </row>
    <row r="64" spans="6:9" x14ac:dyDescent="0.25">
      <c r="F64" s="895" t="str">
        <f t="shared" si="4"/>
        <v>No AplicaNo Aplica</v>
      </c>
      <c r="G64" s="900" t="s">
        <v>1452</v>
      </c>
      <c r="H64" s="900" t="s">
        <v>1452</v>
      </c>
      <c r="I64" s="900" t="s">
        <v>1452</v>
      </c>
    </row>
  </sheetData>
  <conditionalFormatting sqref="B7:B10">
    <cfRule type="containsText" dxfId="407" priority="45" operator="containsText" text="Abstención">
      <formula>NOT(ISERROR(SEARCH("Abstención",B7)))</formula>
    </cfRule>
  </conditionalFormatting>
  <conditionalFormatting sqref="B30:B32">
    <cfRule type="containsText" dxfId="406" priority="39" operator="containsText" text="Abstención">
      <formula>NOT(ISERROR(SEARCH("Abstención",B30)))</formula>
    </cfRule>
  </conditionalFormatting>
  <conditionalFormatting sqref="D7:D10">
    <cfRule type="containsText" dxfId="405" priority="44" operator="containsText" text="Abstención">
      <formula>NOT(ISERROR(SEARCH("Abstención",D7)))</formula>
    </cfRule>
  </conditionalFormatting>
  <conditionalFormatting sqref="D30:D32">
    <cfRule type="containsText" dxfId="404" priority="37" operator="containsText" text="Abstención">
      <formula>NOT(ISERROR(SEARCH("Abstención",D30)))</formula>
    </cfRule>
  </conditionalFormatting>
  <conditionalFormatting sqref="G7:G10">
    <cfRule type="containsText" dxfId="403" priority="34" operator="containsText" text="Abstención">
      <formula>NOT(ISERROR(SEARCH("Abstención",G7)))</formula>
    </cfRule>
  </conditionalFormatting>
  <conditionalFormatting sqref="G30:G32">
    <cfRule type="containsText" dxfId="402" priority="24" operator="containsText" text="Abstención">
      <formula>NOT(ISERROR(SEARCH("Abstención",G30)))</formula>
    </cfRule>
  </conditionalFormatting>
  <conditionalFormatting sqref="G45:G49">
    <cfRule type="containsText" dxfId="401" priority="10" operator="containsText" text="Abstención">
      <formula>NOT(ISERROR(SEARCH("Abstención",G45)))</formula>
    </cfRule>
  </conditionalFormatting>
  <conditionalFormatting sqref="H4">
    <cfRule type="containsText" dxfId="400" priority="35" operator="containsText" text="Abstención">
      <formula>NOT(ISERROR(SEARCH("Abstención",H4)))</formula>
    </cfRule>
  </conditionalFormatting>
  <conditionalFormatting sqref="H8">
    <cfRule type="containsText" dxfId="399" priority="33" operator="containsText" text="Abstención">
      <formula>NOT(ISERROR(SEARCH("Abstención",H8)))</formula>
    </cfRule>
  </conditionalFormatting>
  <conditionalFormatting sqref="H12">
    <cfRule type="containsText" dxfId="398" priority="32" operator="containsText" text="Abstención">
      <formula>NOT(ISERROR(SEARCH("Abstención",H12)))</formula>
    </cfRule>
  </conditionalFormatting>
  <conditionalFormatting sqref="H16">
    <cfRule type="containsText" dxfId="397" priority="31" operator="containsText" text="Abstención">
      <formula>NOT(ISERROR(SEARCH("Abstención",H16)))</formula>
    </cfRule>
  </conditionalFormatting>
  <conditionalFormatting sqref="H27">
    <cfRule type="containsText" dxfId="396" priority="23" operator="containsText" text="Abstención">
      <formula>NOT(ISERROR(SEARCH("Abstención",H27)))</formula>
    </cfRule>
  </conditionalFormatting>
  <conditionalFormatting sqref="H30">
    <cfRule type="containsText" dxfId="395" priority="22" operator="containsText" text="Abstención">
      <formula>NOT(ISERROR(SEARCH("Abstención",H30)))</formula>
    </cfRule>
  </conditionalFormatting>
  <conditionalFormatting sqref="H46">
    <cfRule type="containsText" dxfId="394" priority="11" operator="containsText" text="Abstención">
      <formula>NOT(ISERROR(SEARCH("Abstención",H46)))</formula>
    </cfRule>
  </conditionalFormatting>
  <conditionalFormatting sqref="H33:I33">
    <cfRule type="containsText" dxfId="393" priority="20" operator="containsText" text="Abstención">
      <formula>NOT(ISERROR(SEARCH("Abstención",H33)))</formula>
    </cfRule>
  </conditionalFormatting>
  <conditionalFormatting sqref="H41:I41">
    <cfRule type="containsText" dxfId="392" priority="4" operator="containsText" text="Abstención">
      <formula>NOT(ISERROR(SEARCH("Abstención",H41)))</formula>
    </cfRule>
  </conditionalFormatting>
  <conditionalFormatting sqref="H51:I51">
    <cfRule type="containsText" dxfId="391" priority="3" operator="containsText" text="Abstención">
      <formula>NOT(ISERROR(SEARCH("Abstención",H51)))</formula>
    </cfRule>
  </conditionalFormatting>
  <conditionalFormatting sqref="H56:I56">
    <cfRule type="containsText" dxfId="390" priority="2" operator="containsText" text="Abstención">
      <formula>NOT(ISERROR(SEARCH("Abstención",H56)))</formula>
    </cfRule>
  </conditionalFormatting>
  <conditionalFormatting sqref="H61:I61">
    <cfRule type="containsText" dxfId="389" priority="1" operator="containsText" text="Abstención">
      <formula>NOT(ISERROR(SEARCH("Abstención",H61)))</formula>
    </cfRule>
  </conditionalFormatting>
  <conditionalFormatting sqref="I3:I12">
    <cfRule type="containsText" dxfId="388" priority="26" operator="containsText" text="NO">
      <formula>NOT(ISERROR(SEARCH("NO",I3)))</formula>
    </cfRule>
  </conditionalFormatting>
  <conditionalFormatting sqref="I15:I16">
    <cfRule type="containsText" dxfId="387" priority="28" operator="containsText" text="NO">
      <formula>NOT(ISERROR(SEARCH("NO",I15)))</formula>
    </cfRule>
  </conditionalFormatting>
  <conditionalFormatting sqref="I30:I31">
    <cfRule type="containsText" dxfId="386" priority="18" operator="containsText" text="Abstención">
      <formula>NOT(ISERROR(SEARCH("Abstención",I30)))</formula>
    </cfRule>
  </conditionalFormatting>
  <conditionalFormatting sqref="I45:I49">
    <cfRule type="containsText" dxfId="385" priority="5" operator="containsText" text="Abstención">
      <formula>NOT(ISERROR(SEARCH("Abstención",I45)))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4"/>
  <sheetViews>
    <sheetView zoomScale="70" zoomScaleNormal="70" workbookViewId="0">
      <selection activeCell="A7" sqref="A7"/>
    </sheetView>
  </sheetViews>
  <sheetFormatPr baseColWidth="10" defaultRowHeight="15" x14ac:dyDescent="0.25"/>
  <cols>
    <col min="2" max="2" width="11.42578125" customWidth="1"/>
    <col min="3" max="3" width="43.7109375" customWidth="1"/>
    <col min="4" max="4" width="66.140625" customWidth="1"/>
    <col min="6" max="6" width="89.140625" style="778" customWidth="1"/>
    <col min="7" max="7" width="30.42578125" bestFit="1" customWidth="1"/>
    <col min="8" max="8" width="51.28515625" customWidth="1"/>
    <col min="9" max="9" width="19.42578125" style="1548" customWidth="1"/>
    <col min="10" max="10" width="15.5703125" customWidth="1"/>
    <col min="12" max="12" width="16.42578125" customWidth="1"/>
    <col min="13" max="14" width="18.28515625" customWidth="1"/>
    <col min="15" max="15" width="15.7109375" customWidth="1"/>
    <col min="16" max="17" width="17.42578125" customWidth="1"/>
    <col min="19" max="19" width="41.42578125" customWidth="1"/>
    <col min="20" max="20" width="35.7109375" customWidth="1"/>
    <col min="21" max="21" width="35.28515625" customWidth="1"/>
    <col min="22" max="22" width="25" customWidth="1"/>
    <col min="23" max="23" width="18.140625" customWidth="1"/>
    <col min="24" max="24" width="19.28515625" customWidth="1"/>
    <col min="28" max="28" width="22.7109375" customWidth="1"/>
    <col min="29" max="29" width="16.7109375" customWidth="1"/>
    <col min="30" max="30" width="14.28515625" customWidth="1"/>
    <col min="31" max="31" width="11.42578125" customWidth="1"/>
    <col min="32" max="32" width="31.7109375" customWidth="1"/>
    <col min="33" max="33" width="11.42578125" customWidth="1"/>
    <col min="40" max="40" width="20.7109375" customWidth="1"/>
    <col min="48" max="48" width="36.85546875" customWidth="1"/>
    <col min="49" max="49" width="24" customWidth="1"/>
  </cols>
  <sheetData>
    <row r="1" spans="1:49" x14ac:dyDescent="0.25">
      <c r="A1" s="30"/>
      <c r="B1" s="30"/>
      <c r="C1" s="30"/>
      <c r="D1" s="30"/>
      <c r="E1" s="30"/>
      <c r="F1" s="761"/>
      <c r="G1" s="30"/>
      <c r="H1" s="30"/>
      <c r="I1" s="783"/>
      <c r="J1" s="30"/>
      <c r="K1" s="30"/>
      <c r="L1" s="30"/>
      <c r="M1" s="30"/>
      <c r="N1" s="30"/>
      <c r="O1" s="30"/>
      <c r="P1" s="30"/>
      <c r="Q1" s="30"/>
      <c r="R1" s="30"/>
      <c r="S1" s="30"/>
      <c r="T1" s="30"/>
      <c r="U1" s="30"/>
      <c r="V1" s="30"/>
      <c r="W1" s="30"/>
      <c r="X1" s="30"/>
      <c r="Y1" s="30"/>
      <c r="Z1" s="30"/>
      <c r="AA1" s="30"/>
      <c r="AB1" s="30"/>
      <c r="AC1" s="30"/>
      <c r="AD1" s="30"/>
      <c r="AE1" s="30"/>
      <c r="AF1" s="30"/>
      <c r="AG1" s="30"/>
    </row>
    <row r="2" spans="1:49" ht="63" customHeight="1" x14ac:dyDescent="0.25">
      <c r="A2" s="30"/>
      <c r="B2" s="761" t="s">
        <v>302</v>
      </c>
      <c r="C2" s="761" t="s">
        <v>303</v>
      </c>
      <c r="D2" s="761" t="s">
        <v>304</v>
      </c>
      <c r="E2" s="761"/>
      <c r="F2" s="761" t="s">
        <v>468</v>
      </c>
      <c r="G2" s="30" t="s">
        <v>469</v>
      </c>
      <c r="H2" s="30" t="s">
        <v>303</v>
      </c>
      <c r="I2" s="783" t="s">
        <v>509</v>
      </c>
      <c r="J2" s="30" t="s">
        <v>1763</v>
      </c>
      <c r="K2" s="30"/>
      <c r="L2" s="762" t="s">
        <v>159</v>
      </c>
      <c r="M2" s="763" t="s">
        <v>161</v>
      </c>
      <c r="N2" s="763" t="s">
        <v>1338</v>
      </c>
      <c r="O2" s="763" t="s">
        <v>160</v>
      </c>
      <c r="P2" s="763" t="s">
        <v>161</v>
      </c>
      <c r="Q2" s="763" t="s">
        <v>1339</v>
      </c>
      <c r="R2" s="30"/>
      <c r="S2" s="764" t="s">
        <v>1340</v>
      </c>
      <c r="T2" s="764" t="s">
        <v>1341</v>
      </c>
      <c r="U2" s="764" t="s">
        <v>1342</v>
      </c>
      <c r="V2" s="764" t="s">
        <v>1343</v>
      </c>
      <c r="W2" s="764" t="s">
        <v>1344</v>
      </c>
      <c r="X2" s="764" t="s">
        <v>1345</v>
      </c>
      <c r="Z2" s="254"/>
      <c r="AA2" s="271"/>
      <c r="AB2" s="1695" t="s">
        <v>200</v>
      </c>
      <c r="AC2" s="1695" t="s">
        <v>471</v>
      </c>
      <c r="AD2" s="1695"/>
      <c r="AE2" s="30"/>
      <c r="AF2" s="255" t="s">
        <v>472</v>
      </c>
      <c r="AG2" s="30"/>
      <c r="AH2" s="1698" t="s">
        <v>1346</v>
      </c>
      <c r="AI2" s="1698"/>
      <c r="AJ2" s="1698"/>
      <c r="AK2" s="1698"/>
      <c r="AL2" s="1698"/>
      <c r="AM2" s="1698"/>
      <c r="AN2" s="1698"/>
      <c r="AO2" s="1698" t="s">
        <v>1347</v>
      </c>
      <c r="AP2" s="1698"/>
      <c r="AQ2" s="1698"/>
      <c r="AR2" s="1698"/>
      <c r="AS2" s="1698"/>
      <c r="AT2" s="1698"/>
      <c r="AV2" s="765" t="s">
        <v>200</v>
      </c>
      <c r="AW2" s="765" t="s">
        <v>178</v>
      </c>
    </row>
    <row r="3" spans="1:49" ht="48" customHeight="1" x14ac:dyDescent="0.25">
      <c r="A3" s="30"/>
      <c r="B3" s="30">
        <v>100000</v>
      </c>
      <c r="C3" s="30" t="s">
        <v>306</v>
      </c>
      <c r="D3" s="30" t="s">
        <v>483</v>
      </c>
      <c r="E3" s="30"/>
      <c r="F3" s="761" t="s">
        <v>484</v>
      </c>
      <c r="G3" s="30" t="s">
        <v>485</v>
      </c>
      <c r="H3" s="30" t="s">
        <v>486</v>
      </c>
      <c r="I3" s="783"/>
      <c r="J3" s="766" t="s">
        <v>494</v>
      </c>
      <c r="K3" s="767"/>
      <c r="L3" s="768">
        <v>5</v>
      </c>
      <c r="M3" s="769" t="s">
        <v>165</v>
      </c>
      <c r="N3" s="770">
        <v>0.3</v>
      </c>
      <c r="O3" s="771">
        <v>4</v>
      </c>
      <c r="P3" s="769" t="s">
        <v>165</v>
      </c>
      <c r="Q3" s="770">
        <v>0.3</v>
      </c>
      <c r="R3" s="30"/>
      <c r="S3" s="772" t="s">
        <v>1286</v>
      </c>
      <c r="T3" s="773" t="s">
        <v>470</v>
      </c>
      <c r="U3" s="774" t="s">
        <v>1348</v>
      </c>
      <c r="V3" s="775" t="s">
        <v>1349</v>
      </c>
      <c r="W3" s="776" t="s">
        <v>1262</v>
      </c>
      <c r="X3" s="777">
        <v>0</v>
      </c>
      <c r="Z3" s="254"/>
      <c r="AA3" s="271"/>
      <c r="AB3" s="1695"/>
      <c r="AC3" s="261" t="s">
        <v>488</v>
      </c>
      <c r="AD3" s="261" t="s">
        <v>489</v>
      </c>
      <c r="AF3" s="262" t="s">
        <v>470</v>
      </c>
      <c r="AG3" s="30"/>
      <c r="AH3" s="778" t="s">
        <v>1350</v>
      </c>
      <c r="AO3" s="778" t="s">
        <v>1350</v>
      </c>
      <c r="AV3" s="779" t="s">
        <v>1620</v>
      </c>
      <c r="AW3" s="779">
        <v>1</v>
      </c>
    </row>
    <row r="4" spans="1:49" ht="47.25" customHeight="1" x14ac:dyDescent="0.25">
      <c r="A4" s="30"/>
      <c r="B4" s="30">
        <v>110000</v>
      </c>
      <c r="C4" s="30" t="s">
        <v>308</v>
      </c>
      <c r="D4" s="30" t="s">
        <v>496</v>
      </c>
      <c r="E4" s="30"/>
      <c r="F4" s="761" t="s">
        <v>497</v>
      </c>
      <c r="G4" s="30" t="s">
        <v>485</v>
      </c>
      <c r="H4" s="30" t="s">
        <v>498</v>
      </c>
      <c r="I4" s="783"/>
      <c r="J4" s="766" t="s">
        <v>494</v>
      </c>
      <c r="K4" s="767"/>
      <c r="L4">
        <v>6</v>
      </c>
      <c r="M4" s="769" t="s">
        <v>165</v>
      </c>
      <c r="N4" s="770">
        <v>0.3</v>
      </c>
      <c r="O4">
        <v>5</v>
      </c>
      <c r="P4" s="769" t="s">
        <v>165</v>
      </c>
      <c r="Q4" s="770">
        <v>0.3</v>
      </c>
      <c r="R4" s="30"/>
      <c r="S4" s="772" t="s">
        <v>1351</v>
      </c>
      <c r="T4" s="780" t="s">
        <v>500</v>
      </c>
      <c r="U4" s="774" t="s">
        <v>1290</v>
      </c>
      <c r="V4" s="775" t="s">
        <v>914</v>
      </c>
      <c r="W4" s="776" t="s">
        <v>1257</v>
      </c>
      <c r="X4" s="777">
        <v>0.05</v>
      </c>
      <c r="Z4" s="254"/>
      <c r="AA4" s="271"/>
      <c r="AB4" s="267" t="s">
        <v>499</v>
      </c>
      <c r="AC4" s="268">
        <v>0.75</v>
      </c>
      <c r="AD4" s="268">
        <v>1</v>
      </c>
      <c r="AE4" s="30"/>
      <c r="AF4" s="262" t="s">
        <v>500</v>
      </c>
      <c r="AG4" s="30"/>
      <c r="AH4" s="781" t="s">
        <v>1352</v>
      </c>
      <c r="AI4" s="778" t="s">
        <v>470</v>
      </c>
      <c r="AJ4" t="str">
        <f>CONCATENATE(AH4," ",AI4)</f>
        <v>O1 INGRESOS</v>
      </c>
      <c r="AL4" s="782"/>
      <c r="AM4" s="778"/>
      <c r="AO4" s="781">
        <v>41</v>
      </c>
      <c r="AP4" s="778" t="s">
        <v>470</v>
      </c>
      <c r="AQ4" t="str">
        <f>CONCATENATE(AO4," ",AP4)</f>
        <v>41 INGRESOS</v>
      </c>
      <c r="AV4" s="779" t="s">
        <v>960</v>
      </c>
      <c r="AW4" s="779">
        <v>0.75</v>
      </c>
    </row>
    <row r="5" spans="1:49" ht="64.5" customHeight="1" x14ac:dyDescent="0.25">
      <c r="A5" s="30"/>
      <c r="B5" s="30">
        <v>12000</v>
      </c>
      <c r="C5" s="30" t="s">
        <v>310</v>
      </c>
      <c r="D5" s="30" t="s">
        <v>502</v>
      </c>
      <c r="E5" s="30"/>
      <c r="F5" s="761" t="s">
        <v>307</v>
      </c>
      <c r="G5" s="30" t="s">
        <v>504</v>
      </c>
      <c r="H5" s="30" t="s">
        <v>496</v>
      </c>
      <c r="I5" s="783" t="s">
        <v>1353</v>
      </c>
      <c r="J5" s="766"/>
      <c r="K5" s="30"/>
      <c r="L5" s="768">
        <v>7</v>
      </c>
      <c r="M5" s="769" t="s">
        <v>165</v>
      </c>
      <c r="N5" s="770">
        <v>0.3</v>
      </c>
      <c r="O5" s="771">
        <v>6</v>
      </c>
      <c r="P5" s="769" t="s">
        <v>165</v>
      </c>
      <c r="Q5" s="770">
        <v>0.3</v>
      </c>
      <c r="R5" s="30"/>
      <c r="S5" s="772" t="s">
        <v>1354</v>
      </c>
      <c r="T5" s="773" t="s">
        <v>794</v>
      </c>
      <c r="U5" s="774" t="s">
        <v>1282</v>
      </c>
      <c r="V5" s="775" t="s">
        <v>1269</v>
      </c>
      <c r="W5" s="776" t="s">
        <v>1273</v>
      </c>
      <c r="X5" s="777">
        <v>0.1</v>
      </c>
      <c r="Y5" s="271"/>
      <c r="Z5" s="254"/>
      <c r="AA5" s="271"/>
      <c r="AB5" s="272" t="s">
        <v>289</v>
      </c>
      <c r="AC5" s="268">
        <v>0.65</v>
      </c>
      <c r="AD5" s="268">
        <v>0.75</v>
      </c>
      <c r="AE5" s="30"/>
      <c r="AF5" s="262" t="s">
        <v>506</v>
      </c>
      <c r="AG5" s="30"/>
      <c r="AH5" s="781" t="s">
        <v>1355</v>
      </c>
      <c r="AI5" s="778" t="s">
        <v>1356</v>
      </c>
      <c r="AJ5" t="str">
        <f t="shared" ref="AJ5:AJ68" si="0">CONCATENATE(AH5," ",AI5)</f>
        <v>O10 DISPONIBILIDAD INICIAL</v>
      </c>
      <c r="AL5" s="781"/>
      <c r="AM5" s="778"/>
      <c r="AO5" s="781">
        <v>410</v>
      </c>
      <c r="AP5" s="778" t="s">
        <v>1356</v>
      </c>
      <c r="AQ5" t="str">
        <f t="shared" ref="AQ5:AQ68" si="1">CONCATENATE(AO5," ",AP5)</f>
        <v>410 DISPONIBILIDAD INICIAL</v>
      </c>
      <c r="AV5" s="779" t="s">
        <v>1357</v>
      </c>
      <c r="AW5" s="779">
        <v>0</v>
      </c>
    </row>
    <row r="6" spans="1:49" ht="45" customHeight="1" x14ac:dyDescent="0.25">
      <c r="A6" s="30"/>
      <c r="B6" s="30">
        <v>120000</v>
      </c>
      <c r="C6" s="30" t="s">
        <v>312</v>
      </c>
      <c r="D6" s="30" t="s">
        <v>511</v>
      </c>
      <c r="E6" s="30"/>
      <c r="F6" s="761" t="s">
        <v>512</v>
      </c>
      <c r="G6" s="30" t="s">
        <v>513</v>
      </c>
      <c r="H6" s="30" t="s">
        <v>496</v>
      </c>
      <c r="I6" s="783" t="s">
        <v>1353</v>
      </c>
      <c r="J6" s="30" t="s">
        <v>494</v>
      </c>
      <c r="K6" s="30"/>
      <c r="L6">
        <v>8</v>
      </c>
      <c r="M6" s="769" t="s">
        <v>165</v>
      </c>
      <c r="N6" s="770">
        <v>0.3</v>
      </c>
      <c r="O6" s="784">
        <v>7</v>
      </c>
      <c r="P6" s="769" t="s">
        <v>165</v>
      </c>
      <c r="Q6" s="770">
        <v>0.3</v>
      </c>
      <c r="R6" s="30"/>
      <c r="S6" s="772" t="s">
        <v>1358</v>
      </c>
      <c r="T6" s="773" t="s">
        <v>797</v>
      </c>
      <c r="U6" s="785" t="s">
        <v>1256</v>
      </c>
      <c r="V6" s="775" t="s">
        <v>1285</v>
      </c>
      <c r="W6" s="776" t="s">
        <v>1291</v>
      </c>
      <c r="X6" s="777">
        <v>0.15</v>
      </c>
      <c r="Y6" s="271"/>
      <c r="Z6" s="254"/>
      <c r="AA6" s="271"/>
      <c r="AB6" s="267" t="s">
        <v>514</v>
      </c>
      <c r="AC6" s="268">
        <v>0</v>
      </c>
      <c r="AD6" s="268">
        <v>0.65</v>
      </c>
      <c r="AE6" s="30"/>
      <c r="AF6" s="262" t="s">
        <v>515</v>
      </c>
      <c r="AG6" s="30"/>
      <c r="AH6" s="781" t="s">
        <v>1359</v>
      </c>
      <c r="AI6" t="s">
        <v>1360</v>
      </c>
      <c r="AJ6" t="str">
        <f t="shared" si="0"/>
        <v>O1002 Bancos</v>
      </c>
      <c r="AL6" s="781"/>
      <c r="AM6" s="778"/>
      <c r="AO6" s="781">
        <v>41002</v>
      </c>
      <c r="AP6" t="s">
        <v>1360</v>
      </c>
      <c r="AQ6" t="str">
        <f t="shared" si="1"/>
        <v>41002 Bancos</v>
      </c>
      <c r="AV6" s="779" t="s">
        <v>1621</v>
      </c>
      <c r="AW6" s="779">
        <v>0</v>
      </c>
    </row>
    <row r="7" spans="1:49" ht="50.25" customHeight="1" x14ac:dyDescent="0.25">
      <c r="A7" s="30"/>
      <c r="B7" s="30">
        <v>12101</v>
      </c>
      <c r="C7" s="30" t="s">
        <v>314</v>
      </c>
      <c r="D7" s="30" t="s">
        <v>486</v>
      </c>
      <c r="E7" s="30"/>
      <c r="F7" s="761" t="s">
        <v>517</v>
      </c>
      <c r="G7" s="30" t="s">
        <v>513</v>
      </c>
      <c r="H7" s="30" t="s">
        <v>496</v>
      </c>
      <c r="I7" s="783" t="s">
        <v>1353</v>
      </c>
      <c r="J7" s="30" t="s">
        <v>494</v>
      </c>
      <c r="K7" s="30"/>
      <c r="L7" s="768">
        <v>9</v>
      </c>
      <c r="M7" s="769" t="s">
        <v>165</v>
      </c>
      <c r="N7" s="770">
        <v>0.3</v>
      </c>
      <c r="O7" s="771">
        <v>8</v>
      </c>
      <c r="P7" s="786" t="s">
        <v>166</v>
      </c>
      <c r="Q7" s="770">
        <v>0.25</v>
      </c>
      <c r="R7" s="30"/>
      <c r="S7" s="772" t="s">
        <v>1361</v>
      </c>
      <c r="T7" s="773" t="s">
        <v>799</v>
      </c>
      <c r="U7" s="785" t="s">
        <v>1362</v>
      </c>
      <c r="V7" s="775" t="s">
        <v>1288</v>
      </c>
      <c r="W7" s="776" t="s">
        <v>1267</v>
      </c>
      <c r="X7" s="777">
        <v>0.15</v>
      </c>
      <c r="Y7" s="271"/>
      <c r="Z7" s="254"/>
      <c r="AA7" s="271"/>
      <c r="AB7" s="267" t="s">
        <v>518</v>
      </c>
      <c r="AC7" s="1696" t="s">
        <v>519</v>
      </c>
      <c r="AD7" s="1696"/>
      <c r="AE7" s="30"/>
      <c r="AF7" s="278" t="s">
        <v>520</v>
      </c>
      <c r="AG7" s="30"/>
      <c r="AH7" s="787" t="s">
        <v>1363</v>
      </c>
      <c r="AI7" t="s">
        <v>1364</v>
      </c>
      <c r="AJ7" t="str">
        <f t="shared" si="0"/>
        <v>O1003 Inversiones Temporales</v>
      </c>
      <c r="AL7" s="781"/>
      <c r="AO7" s="787">
        <v>41003</v>
      </c>
      <c r="AP7" t="s">
        <v>1364</v>
      </c>
      <c r="AQ7" t="str">
        <f t="shared" si="1"/>
        <v>41003 Inversiones Temporales</v>
      </c>
      <c r="AV7" s="779" t="s">
        <v>1365</v>
      </c>
      <c r="AW7" s="779">
        <v>0</v>
      </c>
    </row>
    <row r="8" spans="1:49" ht="48" customHeight="1" x14ac:dyDescent="0.25">
      <c r="A8" s="30"/>
      <c r="B8" s="30">
        <v>12102</v>
      </c>
      <c r="C8" s="30" t="s">
        <v>316</v>
      </c>
      <c r="D8" s="30" t="s">
        <v>525</v>
      </c>
      <c r="E8" s="30"/>
      <c r="F8" s="761" t="s">
        <v>526</v>
      </c>
      <c r="G8" s="30" t="s">
        <v>513</v>
      </c>
      <c r="H8" s="30" t="s">
        <v>496</v>
      </c>
      <c r="I8" s="783" t="s">
        <v>1353</v>
      </c>
      <c r="J8" s="30" t="s">
        <v>494</v>
      </c>
      <c r="K8" s="30"/>
      <c r="L8" s="788">
        <v>10</v>
      </c>
      <c r="M8" s="786" t="s">
        <v>166</v>
      </c>
      <c r="N8" s="770">
        <v>0.25</v>
      </c>
      <c r="O8" s="784">
        <v>9</v>
      </c>
      <c r="P8" s="786" t="s">
        <v>166</v>
      </c>
      <c r="Q8" s="770">
        <v>0.25</v>
      </c>
      <c r="R8" s="30"/>
      <c r="S8" s="772" t="s">
        <v>1261</v>
      </c>
      <c r="T8" s="773" t="s">
        <v>798</v>
      </c>
      <c r="U8" s="774" t="s">
        <v>1287</v>
      </c>
      <c r="V8" s="775" t="s">
        <v>1311</v>
      </c>
      <c r="W8" s="776" t="s">
        <v>1366</v>
      </c>
      <c r="X8" s="777">
        <v>0.15</v>
      </c>
      <c r="Y8" s="271"/>
      <c r="Z8" s="254"/>
      <c r="AA8" s="271"/>
      <c r="AB8" s="271"/>
      <c r="AC8" s="271"/>
      <c r="AD8" s="271"/>
      <c r="AE8" s="30"/>
      <c r="AF8" s="278" t="s">
        <v>527</v>
      </c>
      <c r="AG8" s="30"/>
      <c r="AH8" s="782" t="s">
        <v>1367</v>
      </c>
      <c r="AI8" s="778" t="s">
        <v>1368</v>
      </c>
      <c r="AJ8" t="str">
        <f t="shared" si="0"/>
        <v>O11 INGRESOS CORRIENTES</v>
      </c>
      <c r="AL8" s="781"/>
      <c r="AO8" s="782">
        <v>411</v>
      </c>
      <c r="AP8" s="778" t="s">
        <v>1368</v>
      </c>
      <c r="AQ8" t="str">
        <f t="shared" si="1"/>
        <v>411 INGRESOS CORRIENTES</v>
      </c>
      <c r="AV8" s="779" t="s">
        <v>518</v>
      </c>
      <c r="AW8" s="779">
        <v>0</v>
      </c>
    </row>
    <row r="9" spans="1:49" ht="59.25" customHeight="1" x14ac:dyDescent="0.25">
      <c r="A9" s="30"/>
      <c r="B9" s="30">
        <v>12103</v>
      </c>
      <c r="C9" s="30" t="s">
        <v>318</v>
      </c>
      <c r="D9" s="30" t="s">
        <v>530</v>
      </c>
      <c r="E9" s="30"/>
      <c r="F9" s="761" t="s">
        <v>531</v>
      </c>
      <c r="G9" s="30" t="s">
        <v>485</v>
      </c>
      <c r="H9" s="30" t="s">
        <v>532</v>
      </c>
      <c r="I9" s="783"/>
      <c r="J9" s="30" t="s">
        <v>494</v>
      </c>
      <c r="K9" s="30"/>
      <c r="L9" s="768">
        <v>11</v>
      </c>
      <c r="M9" s="786" t="s">
        <v>166</v>
      </c>
      <c r="N9" s="770">
        <v>0.25</v>
      </c>
      <c r="O9" s="771">
        <v>10</v>
      </c>
      <c r="P9" s="786" t="s">
        <v>166</v>
      </c>
      <c r="Q9" s="770">
        <v>0.25</v>
      </c>
      <c r="R9" s="30"/>
      <c r="S9" s="772" t="s">
        <v>1369</v>
      </c>
      <c r="T9" s="773" t="s">
        <v>520</v>
      </c>
      <c r="U9" s="789" t="s">
        <v>1370</v>
      </c>
      <c r="V9" s="775" t="s">
        <v>1312</v>
      </c>
      <c r="W9" s="776" t="s">
        <v>1283</v>
      </c>
      <c r="X9" s="777">
        <v>0.15</v>
      </c>
      <c r="Y9" s="271"/>
      <c r="Z9" s="254"/>
      <c r="AA9" s="271"/>
      <c r="AB9" s="271"/>
      <c r="AC9" s="271"/>
      <c r="AD9" s="271"/>
      <c r="AE9" s="30"/>
      <c r="AF9" s="30"/>
      <c r="AG9" s="30"/>
      <c r="AH9" s="782" t="s">
        <v>1371</v>
      </c>
      <c r="AI9" t="s">
        <v>1372</v>
      </c>
      <c r="AJ9" t="str">
        <f t="shared" si="0"/>
        <v>O1101 Tributarios</v>
      </c>
      <c r="AO9" s="782">
        <v>41101</v>
      </c>
      <c r="AP9" t="s">
        <v>1372</v>
      </c>
      <c r="AQ9" t="str">
        <f t="shared" si="1"/>
        <v>41101 Tributarios</v>
      </c>
      <c r="AV9" s="779" t="s">
        <v>1452</v>
      </c>
      <c r="AW9" s="779" t="s">
        <v>1452</v>
      </c>
    </row>
    <row r="10" spans="1:49" ht="58.5" customHeight="1" x14ac:dyDescent="0.25">
      <c r="A10" s="30"/>
      <c r="B10" s="30">
        <v>12104</v>
      </c>
      <c r="C10" s="30" t="s">
        <v>320</v>
      </c>
      <c r="D10" s="30" t="s">
        <v>535</v>
      </c>
      <c r="E10" s="30"/>
      <c r="F10" s="761" t="s">
        <v>536</v>
      </c>
      <c r="G10" s="30" t="s">
        <v>513</v>
      </c>
      <c r="H10" s="30" t="s">
        <v>496</v>
      </c>
      <c r="I10" s="783" t="s">
        <v>1353</v>
      </c>
      <c r="J10" s="30" t="s">
        <v>494</v>
      </c>
      <c r="K10" s="30"/>
      <c r="L10" s="788">
        <v>12</v>
      </c>
      <c r="M10" s="786" t="s">
        <v>166</v>
      </c>
      <c r="N10" s="770">
        <v>0.25</v>
      </c>
      <c r="O10" s="784">
        <v>11</v>
      </c>
      <c r="P10" s="786" t="s">
        <v>166</v>
      </c>
      <c r="Q10" s="770">
        <v>0.25</v>
      </c>
      <c r="R10" s="30"/>
      <c r="S10" s="772" t="s">
        <v>1373</v>
      </c>
      <c r="T10" s="773" t="s">
        <v>527</v>
      </c>
      <c r="U10" s="785" t="s">
        <v>1374</v>
      </c>
      <c r="V10" s="775" t="s">
        <v>1375</v>
      </c>
      <c r="W10" s="776" t="s">
        <v>1376</v>
      </c>
      <c r="X10" s="777">
        <v>0.15</v>
      </c>
      <c r="Y10" s="271"/>
      <c r="Z10" s="254"/>
      <c r="AA10" s="271"/>
      <c r="AB10" s="271"/>
      <c r="AC10" s="271"/>
      <c r="AD10" s="271"/>
      <c r="AE10" s="30"/>
      <c r="AF10" s="30"/>
      <c r="AG10" s="30"/>
      <c r="AH10" s="782" t="s">
        <v>1377</v>
      </c>
      <c r="AI10" t="s">
        <v>1378</v>
      </c>
      <c r="AJ10" t="str">
        <f t="shared" si="0"/>
        <v>O1102 No Tributarios</v>
      </c>
      <c r="AO10" s="782">
        <v>41102</v>
      </c>
      <c r="AP10" t="s">
        <v>1378</v>
      </c>
      <c r="AQ10" t="str">
        <f t="shared" si="1"/>
        <v>41102 No Tributarios</v>
      </c>
    </row>
    <row r="11" spans="1:49" ht="48.75" customHeight="1" x14ac:dyDescent="0.25">
      <c r="A11" s="30"/>
      <c r="B11" s="30">
        <v>12105</v>
      </c>
      <c r="C11" s="30" t="s">
        <v>322</v>
      </c>
      <c r="D11" s="30" t="s">
        <v>539</v>
      </c>
      <c r="E11" s="30"/>
      <c r="F11" s="761" t="s">
        <v>540</v>
      </c>
      <c r="G11" s="30" t="s">
        <v>513</v>
      </c>
      <c r="H11" s="30" t="s">
        <v>541</v>
      </c>
      <c r="I11" s="783"/>
      <c r="J11" s="30" t="s">
        <v>494</v>
      </c>
      <c r="K11" s="30"/>
      <c r="L11" s="768">
        <v>13</v>
      </c>
      <c r="M11" s="786" t="s">
        <v>166</v>
      </c>
      <c r="N11" s="770">
        <v>0.25</v>
      </c>
      <c r="O11" s="771">
        <v>12</v>
      </c>
      <c r="P11" s="769" t="s">
        <v>167</v>
      </c>
      <c r="Q11" s="769">
        <v>0.2</v>
      </c>
      <c r="R11" s="30"/>
      <c r="S11" s="772" t="s">
        <v>1272</v>
      </c>
      <c r="U11" s="785" t="s">
        <v>1379</v>
      </c>
      <c r="V11" s="775" t="s">
        <v>1380</v>
      </c>
      <c r="W11" s="776" t="s">
        <v>1381</v>
      </c>
      <c r="X11" s="777">
        <v>0.15</v>
      </c>
      <c r="Y11" s="271"/>
      <c r="Z11" s="254"/>
      <c r="AA11" s="271"/>
      <c r="AB11" s="271"/>
      <c r="AC11" s="271"/>
      <c r="AD11" s="271"/>
      <c r="AE11" s="30"/>
      <c r="AF11" s="30"/>
      <c r="AG11" s="30"/>
      <c r="AH11" s="781" t="s">
        <v>1382</v>
      </c>
      <c r="AI11" s="778" t="s">
        <v>1383</v>
      </c>
      <c r="AJ11" t="str">
        <f t="shared" si="0"/>
        <v>O12 RECURSOS DE CAPITAL</v>
      </c>
      <c r="AL11" s="782"/>
      <c r="AM11" s="778"/>
      <c r="AO11" s="781">
        <v>412</v>
      </c>
      <c r="AP11" s="778" t="s">
        <v>1383</v>
      </c>
      <c r="AQ11" t="str">
        <f t="shared" si="1"/>
        <v>412 RECURSOS DE CAPITAL</v>
      </c>
    </row>
    <row r="12" spans="1:49" ht="43.5" customHeight="1" x14ac:dyDescent="0.25">
      <c r="A12" s="30"/>
      <c r="B12" s="30">
        <v>12106</v>
      </c>
      <c r="C12" s="30" t="s">
        <v>324</v>
      </c>
      <c r="D12" s="30" t="s">
        <v>545</v>
      </c>
      <c r="E12" s="30"/>
      <c r="F12" s="761" t="s">
        <v>546</v>
      </c>
      <c r="G12" s="30" t="s">
        <v>513</v>
      </c>
      <c r="H12" s="30" t="s">
        <v>547</v>
      </c>
      <c r="I12" s="783" t="s">
        <v>1353</v>
      </c>
      <c r="J12" s="30" t="s">
        <v>494</v>
      </c>
      <c r="K12" s="30"/>
      <c r="L12" s="788">
        <v>14</v>
      </c>
      <c r="M12" s="786" t="s">
        <v>166</v>
      </c>
      <c r="N12" s="770">
        <v>0.25</v>
      </c>
      <c r="O12" s="784">
        <v>13</v>
      </c>
      <c r="P12" s="769" t="s">
        <v>167</v>
      </c>
      <c r="Q12" s="769">
        <v>0.2</v>
      </c>
      <c r="R12" s="30"/>
      <c r="S12" s="772" t="s">
        <v>1384</v>
      </c>
      <c r="T12" s="773"/>
      <c r="U12" s="790" t="s">
        <v>1385</v>
      </c>
      <c r="V12" s="30"/>
      <c r="W12" s="776" t="s">
        <v>1386</v>
      </c>
      <c r="X12" s="271"/>
      <c r="Y12" s="271"/>
      <c r="Z12" s="254"/>
      <c r="AA12" s="271"/>
      <c r="AB12" s="271"/>
      <c r="AC12" s="271"/>
      <c r="AD12" s="271"/>
      <c r="AE12" s="30"/>
      <c r="AF12" s="30"/>
      <c r="AG12" s="30"/>
      <c r="AH12" t="s">
        <v>1387</v>
      </c>
      <c r="AI12" t="s">
        <v>1388</v>
      </c>
      <c r="AJ12" t="str">
        <f t="shared" si="0"/>
        <v>O1201 Disposición de activos</v>
      </c>
      <c r="AL12" s="782"/>
      <c r="AO12" s="782">
        <v>41201</v>
      </c>
      <c r="AP12" t="s">
        <v>1388</v>
      </c>
      <c r="AQ12" t="str">
        <f t="shared" si="1"/>
        <v>41201 Disposición de activos</v>
      </c>
      <c r="AV12" t="s">
        <v>1662</v>
      </c>
      <c r="AW12" t="s">
        <v>1642</v>
      </c>
    </row>
    <row r="13" spans="1:49" ht="40.5" customHeight="1" x14ac:dyDescent="0.25">
      <c r="A13" s="30"/>
      <c r="B13" s="30">
        <v>12107</v>
      </c>
      <c r="C13" s="30" t="s">
        <v>326</v>
      </c>
      <c r="D13" s="30" t="s">
        <v>548</v>
      </c>
      <c r="E13" s="30"/>
      <c r="F13" s="761" t="s">
        <v>549</v>
      </c>
      <c r="G13" s="30" t="s">
        <v>513</v>
      </c>
      <c r="H13" s="30" t="s">
        <v>550</v>
      </c>
      <c r="I13" s="783"/>
      <c r="J13" s="30" t="s">
        <v>494</v>
      </c>
      <c r="K13" s="30"/>
      <c r="L13" s="768">
        <v>15</v>
      </c>
      <c r="M13" s="769" t="s">
        <v>167</v>
      </c>
      <c r="N13" s="769">
        <v>0.2</v>
      </c>
      <c r="O13" s="771">
        <v>14</v>
      </c>
      <c r="P13" s="769" t="s">
        <v>167</v>
      </c>
      <c r="Q13" s="769">
        <v>0.2</v>
      </c>
      <c r="R13" s="30"/>
      <c r="S13" s="772" t="s">
        <v>1289</v>
      </c>
      <c r="U13" s="790" t="s">
        <v>1389</v>
      </c>
      <c r="V13" s="30"/>
      <c r="W13" s="776" t="s">
        <v>1390</v>
      </c>
      <c r="X13" s="271"/>
      <c r="Y13" s="271"/>
      <c r="Z13" s="254"/>
      <c r="AA13" s="271"/>
      <c r="AB13" s="271"/>
      <c r="AC13" s="271"/>
      <c r="AD13" s="271"/>
      <c r="AE13" s="30"/>
      <c r="AF13" s="30"/>
      <c r="AG13" s="30"/>
      <c r="AH13" t="s">
        <v>1391</v>
      </c>
      <c r="AI13" t="s">
        <v>1392</v>
      </c>
      <c r="AJ13" t="str">
        <f t="shared" si="0"/>
        <v>O1202 Excedentes financieros</v>
      </c>
      <c r="AL13" s="782"/>
      <c r="AO13" s="782">
        <v>41202</v>
      </c>
      <c r="AP13" t="s">
        <v>1392</v>
      </c>
      <c r="AQ13" t="str">
        <f t="shared" si="1"/>
        <v>41202 Excedentes financieros</v>
      </c>
      <c r="AW13" t="s">
        <v>1643</v>
      </c>
    </row>
    <row r="14" spans="1:49" ht="46.5" customHeight="1" x14ac:dyDescent="0.25">
      <c r="A14" s="30"/>
      <c r="B14" s="30">
        <v>12108</v>
      </c>
      <c r="C14" s="30" t="s">
        <v>328</v>
      </c>
      <c r="D14" s="30" t="s">
        <v>551</v>
      </c>
      <c r="E14" s="30"/>
      <c r="F14" s="1549" t="s">
        <v>1393</v>
      </c>
      <c r="G14" s="30" t="s">
        <v>513</v>
      </c>
      <c r="H14" s="30" t="s">
        <v>483</v>
      </c>
      <c r="I14" s="783"/>
      <c r="J14" s="30" t="s">
        <v>494</v>
      </c>
      <c r="K14" s="30"/>
      <c r="L14" s="788">
        <v>16</v>
      </c>
      <c r="M14" s="769" t="s">
        <v>167</v>
      </c>
      <c r="N14" s="769">
        <v>0.2</v>
      </c>
      <c r="O14" s="784">
        <v>15</v>
      </c>
      <c r="P14" s="769" t="s">
        <v>167</v>
      </c>
      <c r="Q14" s="769">
        <v>0.2</v>
      </c>
      <c r="R14" s="30"/>
      <c r="S14" s="772" t="s">
        <v>1394</v>
      </c>
      <c r="U14" s="790" t="s">
        <v>1395</v>
      </c>
      <c r="V14" s="30"/>
      <c r="W14" s="776"/>
      <c r="X14" s="271"/>
      <c r="Y14" s="271"/>
      <c r="Z14" s="254"/>
      <c r="AA14" s="271"/>
      <c r="AB14" s="271"/>
      <c r="AC14" s="271"/>
      <c r="AD14" s="271"/>
      <c r="AE14" s="30"/>
      <c r="AF14" s="30"/>
      <c r="AG14" s="30"/>
      <c r="AH14" t="s">
        <v>1396</v>
      </c>
      <c r="AI14" t="s">
        <v>1397</v>
      </c>
      <c r="AJ14" t="str">
        <f t="shared" si="0"/>
        <v>O1203 Dividendos y utilidades por otras Inversiones de CAPITAL</v>
      </c>
      <c r="AL14" s="782"/>
      <c r="AO14" s="782">
        <v>41203</v>
      </c>
      <c r="AP14" t="s">
        <v>1397</v>
      </c>
      <c r="AQ14" t="str">
        <f t="shared" si="1"/>
        <v>41203 Dividendos y utilidades por otras Inversiones de CAPITAL</v>
      </c>
    </row>
    <row r="15" spans="1:49" ht="46.5" customHeight="1" x14ac:dyDescent="0.25">
      <c r="A15" s="30"/>
      <c r="B15" s="30">
        <v>12109</v>
      </c>
      <c r="C15" s="30" t="s">
        <v>330</v>
      </c>
      <c r="D15" s="30" t="s">
        <v>553</v>
      </c>
      <c r="E15" s="30"/>
      <c r="F15" s="761" t="s">
        <v>554</v>
      </c>
      <c r="G15" s="30" t="s">
        <v>513</v>
      </c>
      <c r="H15" s="30" t="s">
        <v>555</v>
      </c>
      <c r="I15" s="1546" t="s">
        <v>1353</v>
      </c>
      <c r="J15" s="30" t="s">
        <v>494</v>
      </c>
      <c r="K15" s="30"/>
      <c r="L15" s="768">
        <v>17</v>
      </c>
      <c r="M15" s="769" t="s">
        <v>167</v>
      </c>
      <c r="N15" s="769">
        <v>0.2</v>
      </c>
      <c r="O15" s="771">
        <v>16</v>
      </c>
      <c r="P15" s="769" t="s">
        <v>167</v>
      </c>
      <c r="Q15" s="769">
        <v>0.2</v>
      </c>
      <c r="R15" s="30"/>
      <c r="S15" s="772" t="s">
        <v>1398</v>
      </c>
      <c r="U15" s="790" t="s">
        <v>1399</v>
      </c>
      <c r="V15" s="30"/>
      <c r="W15" s="30"/>
      <c r="X15" s="30"/>
      <c r="Y15" s="30"/>
      <c r="Z15" s="30"/>
      <c r="AA15" s="30"/>
      <c r="AB15" s="30"/>
      <c r="AC15" s="30"/>
      <c r="AD15" s="30"/>
      <c r="AE15" s="30"/>
      <c r="AF15" s="30"/>
      <c r="AG15" s="30"/>
      <c r="AH15" t="s">
        <v>1400</v>
      </c>
      <c r="AI15" t="s">
        <v>1401</v>
      </c>
      <c r="AJ15" t="str">
        <f t="shared" si="0"/>
        <v>O1205 Rendimientos financieros</v>
      </c>
      <c r="AL15" s="782"/>
      <c r="AO15" s="782">
        <v>41205</v>
      </c>
      <c r="AP15" t="s">
        <v>1401</v>
      </c>
      <c r="AQ15" t="str">
        <f t="shared" si="1"/>
        <v>41205 Rendimientos financieros</v>
      </c>
      <c r="AV15" t="s">
        <v>1665</v>
      </c>
      <c r="AW15" t="s">
        <v>1675</v>
      </c>
    </row>
    <row r="16" spans="1:49" ht="38.25" customHeight="1" x14ac:dyDescent="0.25">
      <c r="A16" s="30"/>
      <c r="B16" s="30">
        <v>12110</v>
      </c>
      <c r="C16" s="30" t="s">
        <v>332</v>
      </c>
      <c r="D16" s="30" t="s">
        <v>498</v>
      </c>
      <c r="E16" s="30"/>
      <c r="F16" s="761" t="s">
        <v>556</v>
      </c>
      <c r="G16" s="30" t="s">
        <v>513</v>
      </c>
      <c r="H16" s="30" t="s">
        <v>557</v>
      </c>
      <c r="I16" s="783" t="s">
        <v>1353</v>
      </c>
      <c r="J16" s="30" t="s">
        <v>494</v>
      </c>
      <c r="K16" s="30"/>
      <c r="L16" s="788">
        <v>18</v>
      </c>
      <c r="M16" s="769" t="s">
        <v>167</v>
      </c>
      <c r="N16" s="769">
        <v>0.2</v>
      </c>
      <c r="O16" s="30"/>
      <c r="P16" s="30"/>
      <c r="Q16" s="30"/>
      <c r="R16" s="30"/>
      <c r="S16" s="772" t="s">
        <v>1402</v>
      </c>
      <c r="U16" s="790" t="s">
        <v>1403</v>
      </c>
      <c r="V16" s="30"/>
      <c r="W16" s="30"/>
      <c r="X16" s="30"/>
      <c r="Y16" s="30"/>
      <c r="Z16" s="30"/>
      <c r="AA16" s="30"/>
      <c r="AB16" s="30"/>
      <c r="AC16" s="30"/>
      <c r="AD16" s="30"/>
      <c r="AE16" s="30"/>
      <c r="AF16" s="30"/>
      <c r="AG16" s="30"/>
      <c r="AH16" t="s">
        <v>1404</v>
      </c>
      <c r="AI16" t="s">
        <v>1405</v>
      </c>
      <c r="AJ16" t="str">
        <f t="shared" si="0"/>
        <v>O1206 RECURSOS de crédito externo</v>
      </c>
      <c r="AL16" s="782"/>
      <c r="AO16" s="782">
        <v>41206</v>
      </c>
      <c r="AP16" t="s">
        <v>1405</v>
      </c>
      <c r="AQ16" t="str">
        <f t="shared" si="1"/>
        <v>41206 RECURSOS de crédito externo</v>
      </c>
      <c r="AW16" t="s">
        <v>1676</v>
      </c>
    </row>
    <row r="17" spans="1:49" ht="28.5" customHeight="1" x14ac:dyDescent="0.25">
      <c r="A17" s="30"/>
      <c r="B17" s="30">
        <v>12111</v>
      </c>
      <c r="C17" s="30" t="s">
        <v>334</v>
      </c>
      <c r="D17" s="30" t="s">
        <v>532</v>
      </c>
      <c r="E17" s="30"/>
      <c r="F17" s="761" t="s">
        <v>558</v>
      </c>
      <c r="G17" s="30" t="s">
        <v>513</v>
      </c>
      <c r="H17" s="30" t="s">
        <v>559</v>
      </c>
      <c r="I17" s="783" t="s">
        <v>1353</v>
      </c>
      <c r="J17" s="30" t="s">
        <v>494</v>
      </c>
      <c r="K17" s="30"/>
      <c r="L17" s="768">
        <v>19</v>
      </c>
      <c r="M17" s="769" t="s">
        <v>167</v>
      </c>
      <c r="N17" s="769">
        <v>0.2</v>
      </c>
      <c r="O17" s="30"/>
      <c r="P17" s="30"/>
      <c r="Q17" s="30"/>
      <c r="R17" s="30"/>
      <c r="S17" s="772" t="s">
        <v>1277</v>
      </c>
      <c r="U17" s="790" t="s">
        <v>1406</v>
      </c>
      <c r="V17" s="30"/>
      <c r="W17" s="30"/>
      <c r="X17" s="30"/>
      <c r="Y17" s="30"/>
      <c r="Z17" s="30"/>
      <c r="AA17" s="30"/>
      <c r="AB17" s="30"/>
      <c r="AC17" s="30"/>
      <c r="AD17" s="30"/>
      <c r="AE17" s="30"/>
      <c r="AF17" s="30"/>
      <c r="AG17" s="30"/>
      <c r="AH17" t="s">
        <v>1407</v>
      </c>
      <c r="AI17" t="s">
        <v>1408</v>
      </c>
      <c r="AJ17" t="str">
        <f t="shared" si="0"/>
        <v>O1207 RECURSOS de crédito interno</v>
      </c>
      <c r="AL17" s="782"/>
      <c r="AO17" s="782">
        <v>41207</v>
      </c>
      <c r="AP17" t="s">
        <v>1408</v>
      </c>
      <c r="AQ17" t="str">
        <f t="shared" si="1"/>
        <v>41207 RECURSOS de crédito interno</v>
      </c>
      <c r="AW17" t="s">
        <v>1677</v>
      </c>
    </row>
    <row r="18" spans="1:49" ht="26.25" customHeight="1" x14ac:dyDescent="0.25">
      <c r="A18" s="30"/>
      <c r="B18" s="30">
        <v>12112</v>
      </c>
      <c r="C18" s="30" t="s">
        <v>336</v>
      </c>
      <c r="D18" s="30" t="s">
        <v>560</v>
      </c>
      <c r="E18" s="30"/>
      <c r="F18" s="761" t="s">
        <v>561</v>
      </c>
      <c r="G18" s="30" t="s">
        <v>485</v>
      </c>
      <c r="H18" s="30" t="s">
        <v>560</v>
      </c>
      <c r="I18" s="783"/>
      <c r="J18" s="30" t="s">
        <v>494</v>
      </c>
      <c r="K18" s="30"/>
      <c r="L18" s="788">
        <v>20</v>
      </c>
      <c r="M18" s="769" t="s">
        <v>167</v>
      </c>
      <c r="N18" s="769">
        <v>0.2</v>
      </c>
      <c r="O18" s="30"/>
      <c r="P18" s="30"/>
      <c r="Q18" s="30"/>
      <c r="R18" s="30"/>
      <c r="S18" s="772" t="s">
        <v>1409</v>
      </c>
      <c r="T18" s="443"/>
      <c r="U18" s="790" t="s">
        <v>1410</v>
      </c>
      <c r="V18" s="30"/>
      <c r="W18" s="30"/>
      <c r="X18" s="30"/>
      <c r="Y18" s="30"/>
      <c r="Z18" s="30"/>
      <c r="AA18" s="30"/>
      <c r="AB18" s="30"/>
      <c r="AC18" s="30"/>
      <c r="AD18" s="30"/>
      <c r="AE18" s="30"/>
      <c r="AF18" s="30"/>
      <c r="AG18" s="30"/>
      <c r="AH18" t="s">
        <v>1411</v>
      </c>
      <c r="AI18" t="s">
        <v>1412</v>
      </c>
      <c r="AJ18" t="str">
        <f t="shared" si="0"/>
        <v>O1208 Transferencias de CAPITAL</v>
      </c>
      <c r="AL18" s="782"/>
      <c r="AO18" s="782">
        <v>41208</v>
      </c>
      <c r="AP18" t="s">
        <v>1412</v>
      </c>
      <c r="AQ18" t="str">
        <f t="shared" si="1"/>
        <v>41208 Transferencias de CAPITAL</v>
      </c>
      <c r="AW18" t="s">
        <v>1678</v>
      </c>
    </row>
    <row r="19" spans="1:49" ht="26.25" customHeight="1" x14ac:dyDescent="0.25">
      <c r="A19" s="30"/>
      <c r="B19" s="30">
        <v>12113</v>
      </c>
      <c r="C19" s="30" t="s">
        <v>338</v>
      </c>
      <c r="D19" s="30" t="s">
        <v>562</v>
      </c>
      <c r="E19" s="30"/>
      <c r="F19" s="761" t="s">
        <v>563</v>
      </c>
      <c r="G19" s="30" t="s">
        <v>513</v>
      </c>
      <c r="H19" s="30" t="s">
        <v>557</v>
      </c>
      <c r="I19" s="783" t="s">
        <v>1353</v>
      </c>
      <c r="J19" s="30" t="s">
        <v>494</v>
      </c>
      <c r="K19" s="30"/>
      <c r="L19" s="30"/>
      <c r="M19" s="30"/>
      <c r="N19" s="30"/>
      <c r="O19" s="30"/>
      <c r="P19" s="30"/>
      <c r="Q19" s="30"/>
      <c r="R19" s="30"/>
      <c r="S19" s="772" t="s">
        <v>1413</v>
      </c>
      <c r="T19" s="443"/>
      <c r="U19" s="790" t="s">
        <v>1414</v>
      </c>
      <c r="V19" s="30"/>
      <c r="W19" s="30"/>
      <c r="X19" s="30"/>
      <c r="Y19" s="30"/>
      <c r="Z19" s="30"/>
      <c r="AA19" s="30"/>
      <c r="AB19" s="30"/>
      <c r="AC19" s="30"/>
      <c r="AD19" s="30"/>
      <c r="AE19" s="30"/>
      <c r="AF19" s="30"/>
      <c r="AG19" s="30"/>
      <c r="AH19" s="791" t="s">
        <v>1415</v>
      </c>
      <c r="AI19" t="s">
        <v>1416</v>
      </c>
      <c r="AJ19" t="str">
        <f t="shared" si="0"/>
        <v>O1209 Recuperación de cartera</v>
      </c>
      <c r="AL19" s="781"/>
      <c r="AM19" s="778"/>
      <c r="AO19" s="792">
        <v>41209</v>
      </c>
      <c r="AP19" t="s">
        <v>1416</v>
      </c>
      <c r="AQ19" t="str">
        <f t="shared" si="1"/>
        <v>41209 Recuperación de cartera</v>
      </c>
      <c r="AW19" t="s">
        <v>1679</v>
      </c>
    </row>
    <row r="20" spans="1:49" ht="36.75" customHeight="1" x14ac:dyDescent="0.25">
      <c r="A20" s="30"/>
      <c r="B20" s="30">
        <v>12114</v>
      </c>
      <c r="C20" s="30" t="s">
        <v>340</v>
      </c>
      <c r="D20" s="30" t="s">
        <v>564</v>
      </c>
      <c r="E20" s="30"/>
      <c r="F20" s="761" t="s">
        <v>565</v>
      </c>
      <c r="G20" s="30" t="s">
        <v>513</v>
      </c>
      <c r="H20" s="30" t="s">
        <v>511</v>
      </c>
      <c r="I20" s="783" t="s">
        <v>1353</v>
      </c>
      <c r="J20" s="30" t="s">
        <v>494</v>
      </c>
      <c r="K20" s="30"/>
      <c r="L20" s="30"/>
      <c r="M20" s="30"/>
      <c r="N20" s="30"/>
      <c r="O20" s="30"/>
      <c r="P20" s="30"/>
      <c r="Q20" s="30"/>
      <c r="R20" s="30"/>
      <c r="S20" s="772" t="s">
        <v>1417</v>
      </c>
      <c r="T20" s="443"/>
      <c r="U20" s="790" t="s">
        <v>1418</v>
      </c>
      <c r="V20" s="30"/>
      <c r="W20" s="30"/>
      <c r="X20" s="30"/>
      <c r="Y20" s="30"/>
      <c r="Z20" s="30"/>
      <c r="AA20" s="30"/>
      <c r="AB20" s="30"/>
      <c r="AC20" s="30"/>
      <c r="AD20" s="30"/>
      <c r="AE20" s="30"/>
      <c r="AF20" s="30"/>
      <c r="AG20" s="30"/>
      <c r="AH20" t="s">
        <v>1419</v>
      </c>
      <c r="AI20" t="s">
        <v>1420</v>
      </c>
      <c r="AJ20" t="str">
        <f t="shared" si="0"/>
        <v>O1210 RECURSOS del balance</v>
      </c>
      <c r="AL20" s="782"/>
      <c r="AO20" s="782">
        <v>41210</v>
      </c>
      <c r="AP20" t="s">
        <v>1420</v>
      </c>
      <c r="AQ20" t="str">
        <f t="shared" si="1"/>
        <v>41210 RECURSOS del balance</v>
      </c>
    </row>
    <row r="21" spans="1:49" ht="25.5" x14ac:dyDescent="0.25">
      <c r="A21" s="30"/>
      <c r="B21" s="30">
        <v>12115</v>
      </c>
      <c r="C21" s="30" t="s">
        <v>342</v>
      </c>
      <c r="D21" s="30" t="s">
        <v>566</v>
      </c>
      <c r="E21" s="30"/>
      <c r="F21" s="761" t="s">
        <v>567</v>
      </c>
      <c r="G21" s="30" t="s">
        <v>513</v>
      </c>
      <c r="H21" s="30" t="s">
        <v>568</v>
      </c>
      <c r="I21" s="783" t="s">
        <v>1353</v>
      </c>
      <c r="J21" s="30" t="s">
        <v>494</v>
      </c>
      <c r="K21" s="30"/>
      <c r="L21" s="30"/>
      <c r="M21" s="30"/>
      <c r="N21" s="30"/>
      <c r="O21" s="30"/>
      <c r="P21" s="30"/>
      <c r="Q21" s="30"/>
      <c r="R21" s="30"/>
      <c r="S21" s="772" t="s">
        <v>1421</v>
      </c>
      <c r="T21" s="443"/>
      <c r="U21" s="772" t="s">
        <v>1422</v>
      </c>
      <c r="V21" s="30"/>
      <c r="W21" s="30"/>
      <c r="X21" s="30"/>
      <c r="Y21" s="30"/>
      <c r="Z21" s="30"/>
      <c r="AA21" s="30"/>
      <c r="AB21" s="30"/>
      <c r="AC21" s="30"/>
      <c r="AD21" s="30"/>
      <c r="AE21" s="30"/>
      <c r="AF21" s="30"/>
      <c r="AG21" s="30"/>
      <c r="AH21" t="s">
        <v>1423</v>
      </c>
      <c r="AI21" t="s">
        <v>1424</v>
      </c>
      <c r="AJ21" t="str">
        <f t="shared" si="0"/>
        <v>O1211 Diferencial cambiario</v>
      </c>
      <c r="AL21" s="782"/>
      <c r="AO21" s="782">
        <v>41211</v>
      </c>
      <c r="AP21" t="s">
        <v>1424</v>
      </c>
      <c r="AQ21" t="str">
        <f t="shared" si="1"/>
        <v>41211 Diferencial cambiario</v>
      </c>
    </row>
    <row r="22" spans="1:49" ht="25.5" x14ac:dyDescent="0.25">
      <c r="A22" s="30"/>
      <c r="B22" s="30">
        <v>12116</v>
      </c>
      <c r="C22" s="30" t="s">
        <v>344</v>
      </c>
      <c r="D22" s="30" t="s">
        <v>569</v>
      </c>
      <c r="E22" s="30"/>
      <c r="F22" s="761" t="s">
        <v>570</v>
      </c>
      <c r="G22" s="30" t="s">
        <v>513</v>
      </c>
      <c r="H22" s="30" t="s">
        <v>496</v>
      </c>
      <c r="I22" s="783" t="s">
        <v>1353</v>
      </c>
      <c r="J22" s="30" t="s">
        <v>494</v>
      </c>
      <c r="K22" s="30"/>
      <c r="L22" s="30"/>
      <c r="M22" s="30"/>
      <c r="N22" s="30"/>
      <c r="O22" s="30"/>
      <c r="P22" s="30"/>
      <c r="Q22" s="30"/>
      <c r="R22" s="30"/>
      <c r="S22" s="772" t="s">
        <v>1254</v>
      </c>
      <c r="T22" s="443"/>
      <c r="U22" s="790" t="s">
        <v>1425</v>
      </c>
      <c r="V22" s="30"/>
      <c r="W22" s="30"/>
      <c r="X22" s="30"/>
      <c r="Y22" s="30"/>
      <c r="Z22" s="30"/>
      <c r="AA22" s="30"/>
      <c r="AB22" s="30"/>
      <c r="AC22" s="30"/>
      <c r="AD22" s="30"/>
      <c r="AE22" s="30"/>
      <c r="AF22" s="30"/>
      <c r="AG22" s="30"/>
      <c r="AH22" t="s">
        <v>1426</v>
      </c>
      <c r="AI22" t="s">
        <v>1427</v>
      </c>
      <c r="AJ22" t="str">
        <f t="shared" si="0"/>
        <v>O1212 Retiros FONPET</v>
      </c>
      <c r="AL22" s="782"/>
      <c r="AO22" s="782">
        <v>41212</v>
      </c>
      <c r="AP22" t="s">
        <v>1427</v>
      </c>
      <c r="AQ22" t="str">
        <f t="shared" si="1"/>
        <v>41212 Retiros FONPET</v>
      </c>
    </row>
    <row r="23" spans="1:49" ht="30.75" customHeight="1" x14ac:dyDescent="0.25">
      <c r="A23" s="30"/>
      <c r="B23" s="30">
        <v>12117</v>
      </c>
      <c r="C23" s="30" t="s">
        <v>346</v>
      </c>
      <c r="D23" s="30" t="s">
        <v>571</v>
      </c>
      <c r="E23" s="30"/>
      <c r="F23" s="761" t="s">
        <v>572</v>
      </c>
      <c r="G23" s="30" t="s">
        <v>513</v>
      </c>
      <c r="H23" s="30" t="s">
        <v>557</v>
      </c>
      <c r="I23" s="783"/>
      <c r="J23" s="30" t="s">
        <v>494</v>
      </c>
      <c r="K23" s="30"/>
      <c r="L23" s="30"/>
      <c r="M23" s="30"/>
      <c r="N23" s="30"/>
      <c r="O23" s="30"/>
      <c r="P23" s="30"/>
      <c r="Q23" s="30"/>
      <c r="R23" s="30"/>
      <c r="S23" s="772" t="s">
        <v>1281</v>
      </c>
      <c r="T23" s="443"/>
      <c r="V23" s="30"/>
      <c r="W23" s="30"/>
      <c r="X23" s="30"/>
      <c r="Y23" s="30"/>
      <c r="Z23" s="30"/>
      <c r="AA23" s="30"/>
      <c r="AB23" s="30"/>
      <c r="AC23" s="30"/>
      <c r="AD23" s="30"/>
      <c r="AE23" s="30"/>
      <c r="AF23" s="30"/>
      <c r="AG23" s="30"/>
      <c r="AH23" t="s">
        <v>1428</v>
      </c>
      <c r="AI23" t="s">
        <v>1429</v>
      </c>
      <c r="AJ23" t="str">
        <f t="shared" si="0"/>
        <v>O1213 Reintegros y otros RECURSOS no apropiados</v>
      </c>
      <c r="AL23" s="782"/>
      <c r="AO23" s="782">
        <v>41213</v>
      </c>
      <c r="AP23" t="s">
        <v>1429</v>
      </c>
      <c r="AQ23" t="str">
        <f t="shared" si="1"/>
        <v>41213 Reintegros y otros RECURSOS no apropiados</v>
      </c>
    </row>
    <row r="24" spans="1:49" ht="25.5" x14ac:dyDescent="0.25">
      <c r="A24" s="30"/>
      <c r="B24" s="30">
        <v>12118</v>
      </c>
      <c r="C24" s="30" t="s">
        <v>348</v>
      </c>
      <c r="D24" s="30" t="s">
        <v>573</v>
      </c>
      <c r="E24" s="30"/>
      <c r="F24" s="761" t="s">
        <v>574</v>
      </c>
      <c r="G24" s="30" t="s">
        <v>513</v>
      </c>
      <c r="H24" s="30" t="s">
        <v>496</v>
      </c>
      <c r="I24" s="783" t="s">
        <v>1353</v>
      </c>
      <c r="J24" s="30" t="s">
        <v>494</v>
      </c>
      <c r="K24" s="30"/>
      <c r="L24" s="30"/>
      <c r="M24" s="30"/>
      <c r="N24" s="30"/>
      <c r="O24" s="30"/>
      <c r="P24" s="30"/>
      <c r="Q24" s="30"/>
      <c r="R24" s="30"/>
      <c r="S24" s="772" t="s">
        <v>1266</v>
      </c>
      <c r="T24" s="443"/>
      <c r="U24" s="790"/>
      <c r="V24" s="30"/>
      <c r="W24" s="30"/>
      <c r="X24" s="30"/>
      <c r="Y24" s="30"/>
      <c r="Z24" s="30"/>
      <c r="AA24" s="30"/>
      <c r="AB24" s="30"/>
      <c r="AC24" s="30"/>
      <c r="AD24" s="30"/>
      <c r="AE24" s="30"/>
      <c r="AF24" s="30"/>
      <c r="AG24" s="30"/>
      <c r="AH24" s="781" t="s">
        <v>1430</v>
      </c>
      <c r="AI24" s="778" t="s">
        <v>1431</v>
      </c>
      <c r="AJ24" t="str">
        <f t="shared" si="0"/>
        <v>O122 Transferencias</v>
      </c>
      <c r="AL24" s="782"/>
      <c r="AO24" s="781">
        <v>4122</v>
      </c>
      <c r="AP24" s="778" t="s">
        <v>1431</v>
      </c>
      <c r="AQ24" t="str">
        <f t="shared" si="1"/>
        <v>4122 Transferencias</v>
      </c>
    </row>
    <row r="25" spans="1:49" ht="25.5" x14ac:dyDescent="0.25">
      <c r="A25" s="30"/>
      <c r="B25" s="30">
        <v>12119</v>
      </c>
      <c r="C25" s="30" t="s">
        <v>350</v>
      </c>
      <c r="D25" s="30" t="s">
        <v>575</v>
      </c>
      <c r="E25" s="30"/>
      <c r="F25" s="761" t="s">
        <v>576</v>
      </c>
      <c r="G25" s="30" t="s">
        <v>485</v>
      </c>
      <c r="H25" s="30" t="s">
        <v>562</v>
      </c>
      <c r="I25" s="783"/>
      <c r="J25" s="30" t="s">
        <v>494</v>
      </c>
      <c r="K25" s="30"/>
      <c r="L25" s="30"/>
      <c r="M25" s="30"/>
      <c r="N25" s="30"/>
      <c r="O25" s="30"/>
      <c r="P25" s="30"/>
      <c r="Q25" s="30"/>
      <c r="R25" s="30"/>
      <c r="S25" s="772" t="s">
        <v>1638</v>
      </c>
      <c r="U25" s="790"/>
      <c r="V25" s="30"/>
      <c r="W25" s="30"/>
      <c r="X25" s="30"/>
      <c r="Y25" s="30"/>
      <c r="Z25" s="30"/>
      <c r="AA25" s="30"/>
      <c r="AB25" s="30"/>
      <c r="AC25" s="30"/>
      <c r="AD25" s="30"/>
      <c r="AE25" s="30"/>
      <c r="AF25" s="30"/>
      <c r="AG25" s="30"/>
      <c r="AH25" s="782" t="s">
        <v>1432</v>
      </c>
      <c r="AI25" t="s">
        <v>1433</v>
      </c>
      <c r="AJ25" t="str">
        <f t="shared" si="0"/>
        <v>O12201 Transferencias corrientes nacionales</v>
      </c>
      <c r="AL25" s="782"/>
      <c r="AO25" s="782">
        <v>412201</v>
      </c>
      <c r="AP25" t="s">
        <v>1433</v>
      </c>
      <c r="AQ25" t="str">
        <f t="shared" si="1"/>
        <v>412201 Transferencias corrientes nacionales</v>
      </c>
    </row>
    <row r="26" spans="1:49" ht="25.5" x14ac:dyDescent="0.25">
      <c r="A26" s="30"/>
      <c r="B26" s="30">
        <v>12120</v>
      </c>
      <c r="C26" s="30" t="s">
        <v>352</v>
      </c>
      <c r="D26" s="30" t="s">
        <v>577</v>
      </c>
      <c r="E26" s="30"/>
      <c r="F26" s="761" t="s">
        <v>578</v>
      </c>
      <c r="G26" s="30" t="s">
        <v>579</v>
      </c>
      <c r="H26" s="30" t="s">
        <v>580</v>
      </c>
      <c r="I26" s="783" t="s">
        <v>144</v>
      </c>
      <c r="J26" s="30" t="s">
        <v>494</v>
      </c>
      <c r="K26" s="30"/>
      <c r="L26" s="30"/>
      <c r="M26" s="30"/>
      <c r="N26" s="30"/>
      <c r="O26" s="30"/>
      <c r="P26" s="30"/>
      <c r="Q26" s="30"/>
      <c r="R26" s="30"/>
      <c r="S26" s="772" t="s">
        <v>1639</v>
      </c>
      <c r="U26" s="790"/>
      <c r="V26" s="30"/>
      <c r="W26" s="30"/>
      <c r="X26" s="30"/>
      <c r="Y26" s="30"/>
      <c r="Z26" s="30"/>
      <c r="AA26" s="30"/>
      <c r="AB26" s="30"/>
      <c r="AC26" s="30"/>
      <c r="AD26" s="30"/>
      <c r="AE26" s="30"/>
      <c r="AF26" s="30"/>
      <c r="AG26" s="30"/>
      <c r="AH26" s="782" t="s">
        <v>1434</v>
      </c>
      <c r="AI26" t="s">
        <v>1435</v>
      </c>
      <c r="AJ26" t="str">
        <f t="shared" si="0"/>
        <v>O12202 Departamentales</v>
      </c>
      <c r="AL26" s="782"/>
      <c r="AO26" s="782">
        <v>412202</v>
      </c>
      <c r="AP26" t="s">
        <v>1435</v>
      </c>
      <c r="AQ26" t="str">
        <f t="shared" si="1"/>
        <v>412202 Departamentales</v>
      </c>
    </row>
    <row r="27" spans="1:49" x14ac:dyDescent="0.25">
      <c r="A27" s="30"/>
      <c r="B27" s="30">
        <v>130000</v>
      </c>
      <c r="C27" s="30" t="s">
        <v>354</v>
      </c>
      <c r="D27" s="30" t="s">
        <v>557</v>
      </c>
      <c r="E27" s="30"/>
      <c r="F27" s="761" t="s">
        <v>581</v>
      </c>
      <c r="G27" s="30" t="s">
        <v>513</v>
      </c>
      <c r="H27" s="30" t="s">
        <v>582</v>
      </c>
      <c r="I27" s="783"/>
      <c r="J27" s="30" t="s">
        <v>494</v>
      </c>
      <c r="K27" s="30"/>
      <c r="L27" s="30"/>
      <c r="M27" s="30"/>
      <c r="N27" s="30"/>
      <c r="O27" s="30"/>
      <c r="P27" s="30"/>
      <c r="Q27" s="30"/>
      <c r="R27" s="30"/>
      <c r="T27" s="443"/>
      <c r="U27" s="790"/>
      <c r="V27" s="30"/>
      <c r="W27" s="30"/>
      <c r="X27" s="30"/>
      <c r="Y27" s="30"/>
      <c r="Z27" s="30"/>
      <c r="AA27" s="30"/>
      <c r="AB27" s="30"/>
      <c r="AC27" s="30"/>
      <c r="AD27" s="30"/>
      <c r="AE27" s="30"/>
      <c r="AF27" s="30"/>
      <c r="AG27" s="30"/>
      <c r="AH27" s="782" t="s">
        <v>1436</v>
      </c>
      <c r="AI27" t="s">
        <v>1437</v>
      </c>
      <c r="AJ27" t="str">
        <f t="shared" si="0"/>
        <v>O12203 Distritales</v>
      </c>
      <c r="AL27" s="782"/>
      <c r="AO27" s="782">
        <v>412203</v>
      </c>
      <c r="AP27" t="s">
        <v>1437</v>
      </c>
      <c r="AQ27" t="str">
        <f t="shared" si="1"/>
        <v>412203 Distritales</v>
      </c>
    </row>
    <row r="28" spans="1:49" x14ac:dyDescent="0.25">
      <c r="A28" s="30"/>
      <c r="B28" s="30">
        <v>140000</v>
      </c>
      <c r="C28" s="30" t="s">
        <v>356</v>
      </c>
      <c r="D28" s="30" t="s">
        <v>547</v>
      </c>
      <c r="E28" s="30"/>
      <c r="F28" s="761" t="s">
        <v>583</v>
      </c>
      <c r="G28" s="30" t="s">
        <v>513</v>
      </c>
      <c r="H28" s="30" t="s">
        <v>580</v>
      </c>
      <c r="I28" s="783" t="s">
        <v>144</v>
      </c>
      <c r="J28" s="30" t="s">
        <v>494</v>
      </c>
      <c r="K28" s="30"/>
      <c r="L28" s="30"/>
      <c r="M28" s="30"/>
      <c r="N28" s="30"/>
      <c r="O28" s="30"/>
      <c r="P28" s="30"/>
      <c r="Q28" s="30"/>
      <c r="R28" s="30"/>
      <c r="T28" s="443"/>
      <c r="U28" s="790"/>
      <c r="V28" s="30"/>
      <c r="W28" s="30"/>
      <c r="X28" s="30"/>
      <c r="Y28" s="30"/>
      <c r="Z28" s="30"/>
      <c r="AA28" s="30"/>
      <c r="AB28" s="30"/>
      <c r="AC28" s="30"/>
      <c r="AD28" s="30"/>
      <c r="AE28" s="30"/>
      <c r="AF28" s="30"/>
      <c r="AG28" s="30"/>
      <c r="AH28" s="782" t="s">
        <v>1438</v>
      </c>
      <c r="AI28" t="s">
        <v>1439</v>
      </c>
      <c r="AJ28" t="str">
        <f t="shared" si="0"/>
        <v>O12204 Otras Transferencias</v>
      </c>
      <c r="AL28" s="782"/>
      <c r="AO28" s="782">
        <v>412204</v>
      </c>
      <c r="AP28" t="s">
        <v>1439</v>
      </c>
      <c r="AQ28" t="str">
        <f t="shared" si="1"/>
        <v>412204 Otras Transferencias</v>
      </c>
    </row>
    <row r="29" spans="1:49" x14ac:dyDescent="0.25">
      <c r="A29" s="30"/>
      <c r="B29" s="30">
        <v>150000</v>
      </c>
      <c r="C29" s="30" t="s">
        <v>358</v>
      </c>
      <c r="D29" s="30" t="s">
        <v>541</v>
      </c>
      <c r="E29" s="30"/>
      <c r="F29" s="761" t="s">
        <v>584</v>
      </c>
      <c r="G29" s="30" t="s">
        <v>485</v>
      </c>
      <c r="H29" s="30" t="s">
        <v>564</v>
      </c>
      <c r="I29" s="783"/>
      <c r="J29" s="30" t="s">
        <v>494</v>
      </c>
      <c r="K29" s="30"/>
      <c r="L29" s="30"/>
      <c r="M29" s="30"/>
      <c r="N29" s="30"/>
      <c r="O29" s="30"/>
      <c r="P29" s="30"/>
      <c r="Q29" s="30"/>
      <c r="R29" s="30"/>
      <c r="S29" s="257"/>
      <c r="T29" s="443"/>
      <c r="U29" s="793"/>
      <c r="V29" s="30"/>
      <c r="W29" s="30"/>
      <c r="X29" s="30"/>
      <c r="Y29" s="30"/>
      <c r="Z29" s="30"/>
      <c r="AA29" s="30"/>
      <c r="AB29" s="30"/>
      <c r="AC29" s="30"/>
      <c r="AD29" s="30"/>
      <c r="AE29" s="30"/>
      <c r="AF29" s="30"/>
      <c r="AG29" s="30"/>
      <c r="AH29" s="782" t="s">
        <v>1440</v>
      </c>
      <c r="AI29" t="s">
        <v>1441</v>
      </c>
      <c r="AJ29" t="str">
        <f t="shared" si="0"/>
        <v>O15 Transferencias Administración Central</v>
      </c>
      <c r="AL29" s="782"/>
      <c r="AO29" s="782">
        <v>415</v>
      </c>
      <c r="AP29" t="s">
        <v>1441</v>
      </c>
      <c r="AQ29" t="str">
        <f t="shared" si="1"/>
        <v>415 Transferencias Administración Central</v>
      </c>
    </row>
    <row r="30" spans="1:49" x14ac:dyDescent="0.25">
      <c r="A30" s="30"/>
      <c r="B30" s="30">
        <v>190000</v>
      </c>
      <c r="C30" s="30" t="s">
        <v>360</v>
      </c>
      <c r="D30" s="30" t="s">
        <v>555</v>
      </c>
      <c r="E30" s="30"/>
      <c r="F30" s="761" t="s">
        <v>586</v>
      </c>
      <c r="G30" s="30" t="s">
        <v>485</v>
      </c>
      <c r="H30" s="30" t="s">
        <v>566</v>
      </c>
      <c r="I30" s="783"/>
      <c r="J30" s="30" t="s">
        <v>494</v>
      </c>
      <c r="K30" s="30"/>
      <c r="L30" s="30"/>
      <c r="M30" s="30"/>
      <c r="N30" s="30"/>
      <c r="O30" s="30"/>
      <c r="P30" s="30"/>
      <c r="Q30" s="30"/>
      <c r="R30" s="30"/>
      <c r="S30" s="257"/>
      <c r="T30" s="443"/>
      <c r="U30" s="790"/>
      <c r="V30" s="30"/>
      <c r="W30" s="30"/>
      <c r="X30" s="30"/>
      <c r="Y30" s="30"/>
      <c r="Z30" s="30"/>
      <c r="AA30" s="30"/>
      <c r="AB30" s="30"/>
      <c r="AC30" s="30"/>
      <c r="AD30" s="30"/>
      <c r="AE30" s="30"/>
      <c r="AF30" s="30"/>
      <c r="AG30" s="30"/>
      <c r="AH30" s="782"/>
      <c r="AJ30" t="str">
        <f t="shared" si="0"/>
        <v xml:space="preserve"> </v>
      </c>
      <c r="AL30" s="782"/>
      <c r="AO30" s="782"/>
      <c r="AQ30" t="str">
        <f t="shared" si="1"/>
        <v xml:space="preserve"> </v>
      </c>
    </row>
    <row r="31" spans="1:49" ht="27" customHeight="1" x14ac:dyDescent="0.25">
      <c r="A31" s="30"/>
      <c r="B31" s="30">
        <v>200000</v>
      </c>
      <c r="C31" s="30" t="s">
        <v>362</v>
      </c>
      <c r="D31" s="30" t="s">
        <v>568</v>
      </c>
      <c r="E31" s="30"/>
      <c r="F31" s="761" t="s">
        <v>588</v>
      </c>
      <c r="G31" s="30" t="s">
        <v>485</v>
      </c>
      <c r="H31" s="30" t="s">
        <v>569</v>
      </c>
      <c r="I31" s="783"/>
      <c r="J31" s="30" t="s">
        <v>494</v>
      </c>
      <c r="K31" s="30"/>
      <c r="L31" s="30"/>
      <c r="M31" s="30"/>
      <c r="N31" s="30"/>
      <c r="O31" s="30"/>
      <c r="P31" s="30"/>
      <c r="Q31" s="30"/>
      <c r="R31" s="30"/>
      <c r="S31" s="257"/>
      <c r="T31" s="443"/>
      <c r="U31" s="790"/>
      <c r="V31" s="30"/>
      <c r="W31" s="30"/>
      <c r="X31" s="30"/>
      <c r="Y31" s="30"/>
      <c r="Z31" s="30"/>
      <c r="AA31" s="30"/>
      <c r="AB31" s="30"/>
      <c r="AC31" s="30"/>
      <c r="AD31" s="30"/>
      <c r="AE31" s="30"/>
      <c r="AF31" s="30"/>
      <c r="AG31" s="30"/>
      <c r="AH31" s="782"/>
      <c r="AJ31" t="str">
        <f t="shared" si="0"/>
        <v xml:space="preserve"> </v>
      </c>
      <c r="AO31" s="782"/>
      <c r="AQ31" t="str">
        <f t="shared" si="1"/>
        <v xml:space="preserve"> </v>
      </c>
    </row>
    <row r="32" spans="1:49" x14ac:dyDescent="0.25">
      <c r="A32" s="30"/>
      <c r="B32" s="30">
        <v>210000</v>
      </c>
      <c r="C32" s="30" t="s">
        <v>364</v>
      </c>
      <c r="D32" s="30" t="s">
        <v>119</v>
      </c>
      <c r="E32" s="30"/>
      <c r="F32" s="761" t="s">
        <v>590</v>
      </c>
      <c r="G32" s="30" t="s">
        <v>485</v>
      </c>
      <c r="H32" s="30" t="s">
        <v>571</v>
      </c>
      <c r="I32" s="783"/>
      <c r="J32" s="30" t="s">
        <v>494</v>
      </c>
      <c r="K32" s="30"/>
      <c r="L32" s="30"/>
      <c r="M32" s="30"/>
      <c r="N32" s="30"/>
      <c r="O32" s="30"/>
      <c r="P32" s="30"/>
      <c r="Q32" s="30"/>
      <c r="R32" s="30"/>
      <c r="S32" s="794"/>
      <c r="T32" s="443"/>
      <c r="U32" s="790"/>
      <c r="V32" s="30"/>
      <c r="W32" s="30"/>
      <c r="X32" s="30"/>
      <c r="Y32" s="30"/>
      <c r="Z32" s="30"/>
      <c r="AA32" s="30"/>
      <c r="AB32" s="30"/>
      <c r="AC32" s="30"/>
      <c r="AD32" s="30"/>
      <c r="AE32" s="30"/>
      <c r="AF32" s="30"/>
      <c r="AG32" s="30"/>
      <c r="AH32" s="778" t="s">
        <v>1442</v>
      </c>
      <c r="AI32" s="778"/>
      <c r="AJ32" t="str">
        <f t="shared" si="0"/>
        <v xml:space="preserve">CÓDIGO GASTOS </v>
      </c>
      <c r="AO32" s="778" t="s">
        <v>1442</v>
      </c>
      <c r="AP32" s="778"/>
      <c r="AQ32" t="str">
        <f t="shared" si="1"/>
        <v xml:space="preserve">CÓDIGO GASTOS </v>
      </c>
    </row>
    <row r="33" spans="1:43" x14ac:dyDescent="0.25">
      <c r="A33" s="30"/>
      <c r="B33" s="30">
        <v>220000</v>
      </c>
      <c r="C33" s="30" t="s">
        <v>366</v>
      </c>
      <c r="D33" s="30" t="s">
        <v>559</v>
      </c>
      <c r="E33" s="30"/>
      <c r="F33" s="761" t="s">
        <v>591</v>
      </c>
      <c r="G33" s="30" t="s">
        <v>485</v>
      </c>
      <c r="H33" s="30" t="s">
        <v>573</v>
      </c>
      <c r="I33" s="783"/>
      <c r="J33" s="30" t="s">
        <v>494</v>
      </c>
      <c r="K33" s="30"/>
      <c r="L33" s="30"/>
      <c r="M33" s="30"/>
      <c r="N33" s="30"/>
      <c r="O33" s="30"/>
      <c r="P33" s="30"/>
      <c r="Q33" s="30"/>
      <c r="R33" s="30"/>
      <c r="S33" s="794"/>
      <c r="T33" s="443"/>
      <c r="U33" s="790"/>
      <c r="V33" s="30"/>
      <c r="W33" s="30"/>
      <c r="X33" s="30"/>
      <c r="Y33" s="30"/>
      <c r="Z33" s="30"/>
      <c r="AA33" s="30"/>
      <c r="AB33" s="30"/>
      <c r="AC33" s="30"/>
      <c r="AD33" s="30"/>
      <c r="AE33" s="30"/>
      <c r="AF33" s="30"/>
      <c r="AG33" s="30"/>
      <c r="AH33" s="781" t="s">
        <v>1443</v>
      </c>
      <c r="AI33" s="778" t="s">
        <v>500</v>
      </c>
      <c r="AJ33" t="str">
        <f t="shared" si="0"/>
        <v>O2 GASTOS</v>
      </c>
      <c r="AL33" s="782"/>
      <c r="AO33" s="781">
        <v>42</v>
      </c>
      <c r="AP33" s="778" t="s">
        <v>500</v>
      </c>
      <c r="AQ33" t="str">
        <f t="shared" si="1"/>
        <v>42 GASTOS</v>
      </c>
    </row>
    <row r="34" spans="1:43" x14ac:dyDescent="0.25">
      <c r="A34" s="30"/>
      <c r="B34" s="30">
        <v>230000</v>
      </c>
      <c r="C34" s="30" t="s">
        <v>368</v>
      </c>
      <c r="D34" s="30" t="s">
        <v>580</v>
      </c>
      <c r="E34" s="30"/>
      <c r="F34" s="761" t="s">
        <v>592</v>
      </c>
      <c r="G34" s="30" t="s">
        <v>485</v>
      </c>
      <c r="H34" s="30" t="s">
        <v>575</v>
      </c>
      <c r="I34" s="783"/>
      <c r="J34" s="30" t="s">
        <v>494</v>
      </c>
      <c r="K34" s="30"/>
      <c r="L34" s="30"/>
      <c r="M34" s="30"/>
      <c r="N34" s="30"/>
      <c r="O34" s="30"/>
      <c r="P34" s="30"/>
      <c r="Q34" s="30"/>
      <c r="R34" s="30"/>
      <c r="S34" s="794"/>
      <c r="T34" s="443"/>
      <c r="U34" s="793"/>
      <c r="V34" s="30"/>
      <c r="W34" s="30"/>
      <c r="X34" s="30"/>
      <c r="Y34" s="30"/>
      <c r="Z34" s="30"/>
      <c r="AA34" s="30"/>
      <c r="AB34" s="30"/>
      <c r="AC34" s="30"/>
      <c r="AD34" s="30"/>
      <c r="AE34" s="30"/>
      <c r="AF34" s="30"/>
      <c r="AG34" s="30"/>
      <c r="AH34" s="781" t="s">
        <v>1444</v>
      </c>
      <c r="AI34" s="778" t="s">
        <v>1445</v>
      </c>
      <c r="AJ34" t="str">
        <f t="shared" si="0"/>
        <v>O21 GASTOS DE FUNCIONAMIENTO</v>
      </c>
      <c r="AL34" s="778"/>
      <c r="AM34" s="778"/>
      <c r="AO34" s="781">
        <v>421</v>
      </c>
      <c r="AP34" s="778" t="s">
        <v>1445</v>
      </c>
      <c r="AQ34" t="str">
        <f t="shared" si="1"/>
        <v>421 GASTOS DE FUNCIONAMIENTO</v>
      </c>
    </row>
    <row r="35" spans="1:43" x14ac:dyDescent="0.25">
      <c r="A35" s="30"/>
      <c r="B35" s="30">
        <v>80000</v>
      </c>
      <c r="C35" s="30" t="s">
        <v>370</v>
      </c>
      <c r="D35" s="30" t="s">
        <v>550</v>
      </c>
      <c r="E35" s="30"/>
      <c r="F35" s="761" t="s">
        <v>593</v>
      </c>
      <c r="G35" s="30" t="s">
        <v>485</v>
      </c>
      <c r="H35" s="30" t="s">
        <v>525</v>
      </c>
      <c r="I35" s="783"/>
      <c r="J35" s="30" t="s">
        <v>494</v>
      </c>
      <c r="K35" s="30"/>
      <c r="L35" s="30"/>
      <c r="M35" s="30"/>
      <c r="N35" s="30"/>
      <c r="O35" s="30"/>
      <c r="P35" s="30"/>
      <c r="Q35" s="30"/>
      <c r="R35" s="30"/>
      <c r="S35" s="794"/>
      <c r="T35" s="443"/>
      <c r="U35" s="793"/>
      <c r="V35" s="30"/>
      <c r="W35" s="30"/>
      <c r="X35" s="30"/>
      <c r="Y35" s="30"/>
      <c r="Z35" s="30"/>
      <c r="AA35" s="30"/>
      <c r="AB35" s="30"/>
      <c r="AC35" s="30"/>
      <c r="AD35" s="30"/>
      <c r="AE35" s="30"/>
      <c r="AF35" s="30"/>
      <c r="AG35" s="30"/>
      <c r="AH35" s="782" t="s">
        <v>1446</v>
      </c>
      <c r="AI35" t="s">
        <v>1447</v>
      </c>
      <c r="AJ35" t="str">
        <f t="shared" si="0"/>
        <v>O211 Gasto de personal</v>
      </c>
      <c r="AL35" s="781"/>
      <c r="AM35" s="778"/>
      <c r="AO35" s="782">
        <v>4211</v>
      </c>
      <c r="AP35" t="s">
        <v>1447</v>
      </c>
      <c r="AQ35" t="str">
        <f t="shared" si="1"/>
        <v>4211 Gasto de personal</v>
      </c>
    </row>
    <row r="36" spans="1:43" x14ac:dyDescent="0.25">
      <c r="A36" s="30"/>
      <c r="B36" s="30">
        <v>90000</v>
      </c>
      <c r="C36" s="30" t="s">
        <v>372</v>
      </c>
      <c r="D36" s="30" t="s">
        <v>582</v>
      </c>
      <c r="E36" s="30"/>
      <c r="F36" s="761" t="s">
        <v>594</v>
      </c>
      <c r="G36" s="30" t="s">
        <v>485</v>
      </c>
      <c r="H36" s="30" t="s">
        <v>577</v>
      </c>
      <c r="I36" s="783"/>
      <c r="J36" s="30" t="s">
        <v>494</v>
      </c>
      <c r="K36" s="30"/>
      <c r="L36" s="30"/>
      <c r="M36" s="30"/>
      <c r="N36" s="30"/>
      <c r="O36" s="30"/>
      <c r="P36" s="30"/>
      <c r="Q36" s="30"/>
      <c r="R36" s="30"/>
      <c r="S36" s="794"/>
      <c r="T36" s="443"/>
      <c r="U36" s="790"/>
      <c r="V36" s="30"/>
      <c r="W36" s="30"/>
      <c r="X36" s="30"/>
      <c r="Y36" s="30"/>
      <c r="Z36" s="30"/>
      <c r="AA36" s="30"/>
      <c r="AB36" s="30"/>
      <c r="AC36" s="30"/>
      <c r="AD36" s="30"/>
      <c r="AE36" s="30"/>
      <c r="AF36" s="30"/>
      <c r="AG36" s="30"/>
      <c r="AH36" t="s">
        <v>1448</v>
      </c>
      <c r="AI36" t="s">
        <v>1449</v>
      </c>
      <c r="AJ36" t="str">
        <f t="shared" si="0"/>
        <v>O21101 Planta de Personal permanente</v>
      </c>
      <c r="AL36" s="781"/>
      <c r="AM36" s="778"/>
      <c r="AO36" s="782">
        <v>421101</v>
      </c>
      <c r="AP36" t="s">
        <v>1449</v>
      </c>
      <c r="AQ36" t="str">
        <f t="shared" si="1"/>
        <v>421101 Planta de Personal permanente</v>
      </c>
    </row>
    <row r="37" spans="1:43" x14ac:dyDescent="0.25">
      <c r="A37" s="30"/>
      <c r="B37" s="30"/>
      <c r="C37" s="30"/>
      <c r="D37" s="30"/>
      <c r="E37" s="30"/>
      <c r="F37" s="761" t="s">
        <v>595</v>
      </c>
      <c r="G37" s="30" t="s">
        <v>596</v>
      </c>
      <c r="H37" s="30" t="s">
        <v>555</v>
      </c>
      <c r="I37" s="1546" t="s">
        <v>144</v>
      </c>
      <c r="J37" s="30" t="s">
        <v>494</v>
      </c>
      <c r="K37" s="30"/>
      <c r="L37" s="30"/>
      <c r="M37" s="30"/>
      <c r="N37" s="30"/>
      <c r="O37" s="30"/>
      <c r="P37" s="30"/>
      <c r="Q37" s="30"/>
      <c r="R37" s="30"/>
      <c r="S37" s="794"/>
      <c r="T37" s="443"/>
      <c r="U37" s="790"/>
      <c r="V37" s="30"/>
      <c r="W37" s="30"/>
      <c r="X37" s="30"/>
      <c r="Y37" s="30"/>
      <c r="Z37" s="30"/>
      <c r="AA37" s="30"/>
      <c r="AB37" s="30"/>
      <c r="AC37" s="30"/>
      <c r="AD37" s="30"/>
      <c r="AE37" s="30"/>
      <c r="AF37" s="30"/>
      <c r="AG37" s="30"/>
      <c r="AH37" t="s">
        <v>1450</v>
      </c>
      <c r="AI37" t="s">
        <v>1451</v>
      </c>
      <c r="AJ37" t="str">
        <f t="shared" si="0"/>
        <v>O21102 Personal supernumerario y Planta temporal</v>
      </c>
      <c r="AL37" s="782"/>
      <c r="AO37" s="782">
        <v>421102</v>
      </c>
      <c r="AP37" t="s">
        <v>1451</v>
      </c>
      <c r="AQ37" t="str">
        <f t="shared" si="1"/>
        <v>421102 Personal supernumerario y Planta temporal</v>
      </c>
    </row>
    <row r="38" spans="1:43" x14ac:dyDescent="0.25">
      <c r="A38" s="30"/>
      <c r="B38" s="30"/>
      <c r="C38" s="30"/>
      <c r="D38" s="30"/>
      <c r="E38" s="30"/>
      <c r="F38" s="761" t="s">
        <v>599</v>
      </c>
      <c r="G38" s="30" t="s">
        <v>1452</v>
      </c>
      <c r="H38" s="30" t="s">
        <v>557</v>
      </c>
      <c r="I38" s="783"/>
      <c r="J38" s="30" t="s">
        <v>494</v>
      </c>
      <c r="K38" s="30"/>
      <c r="L38" s="30"/>
      <c r="M38" s="30"/>
      <c r="N38" s="30"/>
      <c r="O38" s="30"/>
      <c r="P38" s="30"/>
      <c r="Q38" s="30"/>
      <c r="R38" s="30"/>
      <c r="S38" s="794"/>
      <c r="T38" s="443"/>
      <c r="U38" s="790"/>
      <c r="V38" s="30"/>
      <c r="W38" s="30"/>
      <c r="X38" s="30"/>
      <c r="Y38" s="30"/>
      <c r="Z38" s="30"/>
      <c r="AA38" s="30"/>
      <c r="AB38" s="30"/>
      <c r="AC38" s="30"/>
      <c r="AD38" s="30"/>
      <c r="AE38" s="30"/>
      <c r="AF38" s="30"/>
      <c r="AG38" s="30"/>
      <c r="AH38" s="782" t="s">
        <v>1453</v>
      </c>
      <c r="AI38" t="s">
        <v>1454</v>
      </c>
      <c r="AJ38" t="str">
        <f t="shared" si="0"/>
        <v>O212 Adquisición bienes y servicios</v>
      </c>
      <c r="AL38" s="782"/>
      <c r="AO38" s="782">
        <v>4212</v>
      </c>
      <c r="AP38" t="s">
        <v>1454</v>
      </c>
      <c r="AQ38" t="str">
        <f t="shared" si="1"/>
        <v>4212 Adquisición bienes y servicios</v>
      </c>
    </row>
    <row r="39" spans="1:43" x14ac:dyDescent="0.25">
      <c r="A39" s="30"/>
      <c r="B39" s="30"/>
      <c r="C39" s="30"/>
      <c r="D39" s="30"/>
      <c r="E39" s="30"/>
      <c r="F39" s="761" t="s">
        <v>601</v>
      </c>
      <c r="G39" s="30" t="s">
        <v>513</v>
      </c>
      <c r="H39" s="30" t="s">
        <v>557</v>
      </c>
      <c r="I39" s="783"/>
      <c r="J39" s="30" t="s">
        <v>494</v>
      </c>
      <c r="K39" s="30"/>
      <c r="L39" s="30"/>
      <c r="M39" s="30"/>
      <c r="N39" s="30"/>
      <c r="O39" s="30"/>
      <c r="P39" s="30"/>
      <c r="Q39" s="30"/>
      <c r="R39" s="30"/>
      <c r="S39" s="794"/>
      <c r="T39" s="443"/>
      <c r="U39" s="790"/>
      <c r="V39" s="30"/>
      <c r="W39" s="30"/>
      <c r="X39" s="30"/>
      <c r="Y39" s="30"/>
      <c r="Z39" s="30"/>
      <c r="AA39" s="30"/>
      <c r="AB39" s="30"/>
      <c r="AC39" s="30"/>
      <c r="AD39" s="30"/>
      <c r="AE39" s="30"/>
      <c r="AF39" s="30"/>
      <c r="AG39" s="30"/>
      <c r="AH39" t="s">
        <v>1455</v>
      </c>
      <c r="AI39" t="s">
        <v>1456</v>
      </c>
      <c r="AJ39" t="str">
        <f t="shared" si="0"/>
        <v>O21201 Adquisición de activos no financieros</v>
      </c>
      <c r="AL39" s="782"/>
      <c r="AO39" s="782">
        <v>421201</v>
      </c>
      <c r="AP39" t="s">
        <v>1456</v>
      </c>
      <c r="AQ39" t="str">
        <f t="shared" si="1"/>
        <v>421201 Adquisición de activos no financieros</v>
      </c>
    </row>
    <row r="40" spans="1:43" x14ac:dyDescent="0.25">
      <c r="A40" s="30"/>
      <c r="B40" s="30"/>
      <c r="C40" s="30"/>
      <c r="D40" s="30"/>
      <c r="E40" s="30"/>
      <c r="F40" s="761" t="s">
        <v>602</v>
      </c>
      <c r="G40" s="30" t="s">
        <v>596</v>
      </c>
      <c r="H40" s="30" t="s">
        <v>550</v>
      </c>
      <c r="I40" s="783"/>
      <c r="J40" s="30" t="s">
        <v>494</v>
      </c>
      <c r="K40" s="30"/>
      <c r="L40" s="30"/>
      <c r="M40" s="30" t="s">
        <v>1764</v>
      </c>
      <c r="N40" s="30"/>
      <c r="O40" s="30"/>
      <c r="P40" s="30"/>
      <c r="Q40" s="30"/>
      <c r="R40" s="30"/>
      <c r="S40" s="288"/>
      <c r="T40" s="443"/>
      <c r="U40" s="790"/>
      <c r="V40" s="30"/>
      <c r="W40" s="30"/>
      <c r="X40" s="30"/>
      <c r="Y40" s="30"/>
      <c r="Z40" s="30"/>
      <c r="AA40" s="30"/>
      <c r="AB40" s="30"/>
      <c r="AC40" s="30"/>
      <c r="AD40" s="30"/>
      <c r="AE40" s="30"/>
      <c r="AF40" s="30"/>
      <c r="AG40" s="30"/>
      <c r="AH40" t="s">
        <v>1457</v>
      </c>
      <c r="AI40" t="s">
        <v>1458</v>
      </c>
      <c r="AJ40" t="str">
        <f t="shared" si="0"/>
        <v>O21202 Adquisiciones diferentes de activos</v>
      </c>
      <c r="AL40" s="782"/>
      <c r="AO40" s="782">
        <v>421202</v>
      </c>
      <c r="AP40" t="s">
        <v>1458</v>
      </c>
      <c r="AQ40" t="str">
        <f t="shared" si="1"/>
        <v>421202 Adquisiciones diferentes de activos</v>
      </c>
    </row>
    <row r="41" spans="1:43" x14ac:dyDescent="0.25">
      <c r="A41" s="30"/>
      <c r="B41" s="30"/>
      <c r="C41" s="30"/>
      <c r="D41" s="30"/>
      <c r="E41" s="30"/>
      <c r="F41" s="761" t="s">
        <v>604</v>
      </c>
      <c r="G41" s="30" t="s">
        <v>1452</v>
      </c>
      <c r="H41" s="30" t="s">
        <v>557</v>
      </c>
      <c r="I41" s="783"/>
      <c r="J41" s="30" t="s">
        <v>494</v>
      </c>
      <c r="K41" s="30"/>
      <c r="L41" s="30"/>
      <c r="M41" s="30"/>
      <c r="N41" s="30"/>
      <c r="O41" s="30"/>
      <c r="P41" s="30"/>
      <c r="Q41" s="30"/>
      <c r="R41" s="30"/>
      <c r="S41" s="288"/>
      <c r="U41" s="790"/>
      <c r="V41" s="30"/>
      <c r="W41" s="30"/>
      <c r="X41" s="30"/>
      <c r="Y41" s="30"/>
      <c r="Z41" s="30"/>
      <c r="AA41" s="30"/>
      <c r="AB41" s="30"/>
      <c r="AC41" s="30"/>
      <c r="AD41" s="30"/>
      <c r="AE41" s="30"/>
      <c r="AF41" s="30"/>
      <c r="AG41" s="30"/>
      <c r="AH41" t="s">
        <v>1459</v>
      </c>
      <c r="AI41" t="s">
        <v>1460</v>
      </c>
      <c r="AJ41" t="str">
        <f t="shared" si="0"/>
        <v>O213 Transferencias CORRIENTES</v>
      </c>
      <c r="AL41" s="782"/>
      <c r="AO41" s="782">
        <v>4213</v>
      </c>
      <c r="AP41" t="s">
        <v>1460</v>
      </c>
      <c r="AQ41" t="str">
        <f t="shared" si="1"/>
        <v>4213 Transferencias CORRIENTES</v>
      </c>
    </row>
    <row r="42" spans="1:43" x14ac:dyDescent="0.25">
      <c r="A42" s="30"/>
      <c r="B42" s="30"/>
      <c r="C42" s="30"/>
      <c r="D42" s="30"/>
      <c r="E42" s="30"/>
      <c r="F42" s="761" t="s">
        <v>603</v>
      </c>
      <c r="G42" s="30" t="s">
        <v>598</v>
      </c>
      <c r="H42" s="30" t="s">
        <v>541</v>
      </c>
      <c r="I42" s="783"/>
      <c r="J42" s="30" t="s">
        <v>494</v>
      </c>
      <c r="K42" s="30"/>
      <c r="L42" s="30"/>
      <c r="M42" s="30"/>
      <c r="N42" s="30"/>
      <c r="O42" s="30"/>
      <c r="P42" s="30"/>
      <c r="Q42" s="30"/>
      <c r="R42" s="30"/>
      <c r="S42" s="30"/>
      <c r="T42" s="443"/>
      <c r="U42" s="790"/>
      <c r="V42" s="30"/>
      <c r="W42" s="30"/>
      <c r="X42" s="30"/>
      <c r="Y42" s="30"/>
      <c r="Z42" s="30"/>
      <c r="AA42" s="30"/>
      <c r="AB42" s="30"/>
      <c r="AC42" s="30"/>
      <c r="AD42" s="30"/>
      <c r="AE42" s="30"/>
      <c r="AF42" s="30"/>
      <c r="AG42" s="30"/>
      <c r="AH42" t="s">
        <v>1461</v>
      </c>
      <c r="AI42" t="s">
        <v>1462</v>
      </c>
      <c r="AJ42" t="str">
        <f t="shared" si="0"/>
        <v>O21304 A organizaciones nacionales</v>
      </c>
      <c r="AL42" s="781"/>
      <c r="AM42" s="778"/>
      <c r="AO42" s="782">
        <v>421304</v>
      </c>
      <c r="AP42" t="s">
        <v>1462</v>
      </c>
      <c r="AQ42" t="str">
        <f t="shared" si="1"/>
        <v>421304 A organizaciones nacionales</v>
      </c>
    </row>
    <row r="43" spans="1:43" x14ac:dyDescent="0.25">
      <c r="A43" s="30"/>
      <c r="B43" s="30"/>
      <c r="C43" s="30"/>
      <c r="D43" s="30"/>
      <c r="E43" s="30"/>
      <c r="F43" s="761" t="s">
        <v>608</v>
      </c>
      <c r="G43" s="30" t="s">
        <v>1452</v>
      </c>
      <c r="H43" s="30" t="s">
        <v>557</v>
      </c>
      <c r="I43" s="783"/>
      <c r="J43" s="30" t="s">
        <v>494</v>
      </c>
      <c r="K43" s="30"/>
      <c r="L43" s="30"/>
      <c r="M43" s="30"/>
      <c r="N43" s="30"/>
      <c r="O43" s="30"/>
      <c r="P43" s="30"/>
      <c r="Q43" s="30"/>
      <c r="R43" s="30"/>
      <c r="S43" s="30"/>
      <c r="T43" s="443"/>
      <c r="U43" s="790"/>
      <c r="V43" s="30"/>
      <c r="W43" s="30"/>
      <c r="X43" s="30"/>
      <c r="Y43" s="30"/>
      <c r="Z43" s="30"/>
      <c r="AA43" s="30"/>
      <c r="AB43" s="30"/>
      <c r="AC43" s="30"/>
      <c r="AD43" s="30"/>
      <c r="AE43" s="30"/>
      <c r="AF43" s="30"/>
      <c r="AG43" s="30"/>
      <c r="AH43" t="s">
        <v>1463</v>
      </c>
      <c r="AI43" t="s">
        <v>1464</v>
      </c>
      <c r="AJ43" t="str">
        <f t="shared" si="0"/>
        <v>O21305 A entidades del gobierno</v>
      </c>
      <c r="AL43" s="782"/>
      <c r="AO43" s="782">
        <v>421305</v>
      </c>
      <c r="AP43" t="s">
        <v>1464</v>
      </c>
      <c r="AQ43" t="str">
        <f t="shared" si="1"/>
        <v>421305 A entidades del gobierno</v>
      </c>
    </row>
    <row r="44" spans="1:43" x14ac:dyDescent="0.25">
      <c r="A44" s="30"/>
      <c r="B44" s="30"/>
      <c r="C44" s="30"/>
      <c r="D44" s="30"/>
      <c r="E44" s="30"/>
      <c r="F44" s="761" t="s">
        <v>606</v>
      </c>
      <c r="G44" s="30" t="s">
        <v>596</v>
      </c>
      <c r="H44" s="30" t="s">
        <v>557</v>
      </c>
      <c r="I44" s="783"/>
      <c r="J44" s="30" t="s">
        <v>494</v>
      </c>
      <c r="K44" s="30"/>
      <c r="L44" s="30"/>
      <c r="M44" s="30"/>
      <c r="N44" s="30"/>
      <c r="O44" s="30"/>
      <c r="P44" s="30"/>
      <c r="Q44" s="30"/>
      <c r="R44" s="30"/>
      <c r="S44" s="30"/>
      <c r="T44" s="443"/>
      <c r="U44" s="790"/>
      <c r="V44" s="30"/>
      <c r="W44" s="30"/>
      <c r="X44" s="30"/>
      <c r="Y44" s="30"/>
      <c r="Z44" s="30"/>
      <c r="AA44" s="30"/>
      <c r="AB44" s="30"/>
      <c r="AC44" s="30"/>
      <c r="AD44" s="30"/>
      <c r="AE44" s="30"/>
      <c r="AF44" s="30"/>
      <c r="AG44" s="30"/>
      <c r="AI44" t="s">
        <v>441</v>
      </c>
      <c r="AJ44" t="str">
        <f t="shared" si="0"/>
        <v xml:space="preserve"> Adquisición de activos financieros</v>
      </c>
      <c r="AL44" s="782"/>
      <c r="AP44" t="s">
        <v>441</v>
      </c>
      <c r="AQ44" t="str">
        <f t="shared" si="1"/>
        <v xml:space="preserve"> Adquisición de activos financieros</v>
      </c>
    </row>
    <row r="45" spans="1:43" x14ac:dyDescent="0.25">
      <c r="A45" s="30"/>
      <c r="B45" s="30"/>
      <c r="C45" s="30"/>
      <c r="D45" s="30"/>
      <c r="E45" s="30"/>
      <c r="F45" s="761" t="s">
        <v>611</v>
      </c>
      <c r="G45" s="30" t="s">
        <v>1452</v>
      </c>
      <c r="H45" s="30" t="s">
        <v>557</v>
      </c>
      <c r="I45" s="783"/>
      <c r="J45" s="30" t="s">
        <v>494</v>
      </c>
      <c r="K45" s="30"/>
      <c r="L45" s="30"/>
      <c r="M45" s="30"/>
      <c r="N45" s="30"/>
      <c r="O45" s="30"/>
      <c r="P45" s="30"/>
      <c r="Q45" s="30"/>
      <c r="R45" s="30"/>
      <c r="S45" s="30"/>
      <c r="T45" s="443"/>
      <c r="U45" s="795"/>
      <c r="V45" s="30"/>
      <c r="W45" s="30"/>
      <c r="X45" s="30"/>
      <c r="Y45" s="30"/>
      <c r="Z45" s="30"/>
      <c r="AA45" s="30"/>
      <c r="AB45" s="30"/>
      <c r="AC45" s="30"/>
      <c r="AD45" s="30"/>
      <c r="AE45" s="30"/>
      <c r="AF45" s="30"/>
      <c r="AG45" s="30"/>
      <c r="AH45" t="s">
        <v>1465</v>
      </c>
      <c r="AI45" t="s">
        <v>1466</v>
      </c>
      <c r="AJ45" t="str">
        <f t="shared" si="0"/>
        <v>O21314 Aportes al FONPET</v>
      </c>
      <c r="AL45" s="781"/>
      <c r="AM45" s="778"/>
      <c r="AO45" s="782">
        <v>421314</v>
      </c>
      <c r="AP45" t="s">
        <v>1466</v>
      </c>
      <c r="AQ45" t="str">
        <f t="shared" si="1"/>
        <v>421314 Aportes al FONPET</v>
      </c>
    </row>
    <row r="46" spans="1:43" x14ac:dyDescent="0.25">
      <c r="A46" s="30"/>
      <c r="B46" s="30"/>
      <c r="C46" s="30"/>
      <c r="D46" s="30"/>
      <c r="E46" s="30"/>
      <c r="F46" s="761" t="s">
        <v>613</v>
      </c>
      <c r="G46" s="30" t="s">
        <v>1452</v>
      </c>
      <c r="H46" s="30" t="s">
        <v>557</v>
      </c>
      <c r="I46" s="783"/>
      <c r="J46" s="30" t="s">
        <v>494</v>
      </c>
      <c r="K46" s="30"/>
      <c r="L46" s="30"/>
      <c r="M46" s="30"/>
      <c r="N46" s="30"/>
      <c r="O46" s="30"/>
      <c r="P46" s="30"/>
      <c r="Q46" s="30"/>
      <c r="R46" s="30"/>
      <c r="S46" s="30"/>
      <c r="T46" s="443"/>
      <c r="U46" s="795"/>
      <c r="V46" s="30"/>
      <c r="W46" s="30"/>
      <c r="X46" s="30"/>
      <c r="Y46" s="30"/>
      <c r="Z46" s="30"/>
      <c r="AA46" s="30"/>
      <c r="AB46" s="30"/>
      <c r="AC46" s="30"/>
      <c r="AD46" s="30"/>
      <c r="AE46" s="30"/>
      <c r="AF46" s="30"/>
      <c r="AG46" s="30"/>
      <c r="AH46" t="s">
        <v>1467</v>
      </c>
      <c r="AI46" t="s">
        <v>1468</v>
      </c>
      <c r="AJ46" t="str">
        <f t="shared" si="0"/>
        <v>O217 Disminución de Pasivos</v>
      </c>
      <c r="AL46" s="782"/>
      <c r="AM46" s="778"/>
      <c r="AO46" s="782">
        <v>4217</v>
      </c>
      <c r="AP46" t="s">
        <v>1468</v>
      </c>
      <c r="AQ46" t="str">
        <f t="shared" si="1"/>
        <v>4217 Disminución de Pasivos</v>
      </c>
    </row>
    <row r="47" spans="1:43" x14ac:dyDescent="0.25">
      <c r="A47" s="30"/>
      <c r="B47" s="30"/>
      <c r="C47" s="30"/>
      <c r="D47" s="30"/>
      <c r="E47" s="30"/>
      <c r="F47" s="761" t="s">
        <v>607</v>
      </c>
      <c r="G47" s="30" t="s">
        <v>596</v>
      </c>
      <c r="H47" s="30" t="s">
        <v>559</v>
      </c>
      <c r="I47" s="783" t="s">
        <v>144</v>
      </c>
      <c r="J47" s="30" t="s">
        <v>494</v>
      </c>
      <c r="K47" s="30"/>
      <c r="L47" s="30"/>
      <c r="M47" s="30"/>
      <c r="N47" s="30"/>
      <c r="O47" s="30"/>
      <c r="P47" s="30"/>
      <c r="Q47" s="30"/>
      <c r="R47" s="30"/>
      <c r="S47" s="30"/>
      <c r="T47" s="443"/>
      <c r="U47" s="795"/>
      <c r="V47" s="30"/>
      <c r="W47" s="30"/>
      <c r="X47" s="30"/>
      <c r="Y47" s="30"/>
      <c r="Z47" s="30"/>
      <c r="AA47" s="30"/>
      <c r="AB47" s="30"/>
      <c r="AC47" s="30"/>
      <c r="AD47" s="30"/>
      <c r="AE47" s="30"/>
      <c r="AF47" s="30"/>
      <c r="AG47" s="30"/>
      <c r="AH47" t="s">
        <v>1469</v>
      </c>
      <c r="AI47" t="s">
        <v>443</v>
      </c>
      <c r="AJ47" t="str">
        <f t="shared" si="0"/>
        <v>O218 Gastos por tributos, tasas, contribuciones, multas, sanciones e intereses de mora</v>
      </c>
      <c r="AL47" s="782"/>
      <c r="AO47" s="782">
        <v>4218</v>
      </c>
      <c r="AP47" t="s">
        <v>443</v>
      </c>
      <c r="AQ47" t="str">
        <f t="shared" si="1"/>
        <v>4218 Gastos por tributos, tasas, contribuciones, multas, sanciones e intereses de mora</v>
      </c>
    </row>
    <row r="48" spans="1:43" x14ac:dyDescent="0.25">
      <c r="A48" s="30"/>
      <c r="B48" s="30"/>
      <c r="C48" s="30"/>
      <c r="D48" s="30"/>
      <c r="E48" s="30"/>
      <c r="F48" s="761" t="s">
        <v>609</v>
      </c>
      <c r="G48" s="30" t="s">
        <v>596</v>
      </c>
      <c r="H48" s="30" t="s">
        <v>559</v>
      </c>
      <c r="I48" s="783" t="s">
        <v>144</v>
      </c>
      <c r="J48" s="30" t="s">
        <v>494</v>
      </c>
      <c r="K48" s="30"/>
      <c r="L48" s="30"/>
      <c r="M48" s="30"/>
      <c r="N48" s="30"/>
      <c r="O48" s="30"/>
      <c r="P48" s="30"/>
      <c r="Q48" s="30"/>
      <c r="R48" s="30"/>
      <c r="S48" s="30"/>
      <c r="T48" s="443"/>
      <c r="U48" s="795"/>
      <c r="V48" s="30"/>
      <c r="W48" s="30"/>
      <c r="X48" s="30"/>
      <c r="Y48" s="30"/>
      <c r="Z48" s="30"/>
      <c r="AA48" s="30"/>
      <c r="AB48" s="30"/>
      <c r="AC48" s="30"/>
      <c r="AD48" s="30"/>
      <c r="AE48" s="30"/>
      <c r="AF48" s="30"/>
      <c r="AG48" s="30"/>
      <c r="AH48" s="781" t="s">
        <v>1470</v>
      </c>
      <c r="AI48" s="778" t="s">
        <v>1471</v>
      </c>
      <c r="AJ48" t="str">
        <f t="shared" si="0"/>
        <v>O22 SERVICIO DE LA DEUDA PÚBLICA</v>
      </c>
      <c r="AL48" s="782"/>
      <c r="AO48" s="781">
        <v>422</v>
      </c>
      <c r="AP48" s="778" t="s">
        <v>1471</v>
      </c>
      <c r="AQ48" t="str">
        <f t="shared" si="1"/>
        <v>422 SERVICIO DE LA DEUDA PÚBLICA</v>
      </c>
    </row>
    <row r="49" spans="1:43" x14ac:dyDescent="0.25">
      <c r="A49" s="30"/>
      <c r="B49" s="30"/>
      <c r="C49" s="30"/>
      <c r="D49" s="30"/>
      <c r="E49" s="30"/>
      <c r="F49" s="761" t="s">
        <v>610</v>
      </c>
      <c r="G49" s="30" t="s">
        <v>596</v>
      </c>
      <c r="H49" s="30" t="s">
        <v>568</v>
      </c>
      <c r="I49" s="783"/>
      <c r="J49" s="30" t="s">
        <v>494</v>
      </c>
      <c r="K49" s="30"/>
      <c r="L49" s="30"/>
      <c r="M49" s="30"/>
      <c r="N49" s="30"/>
      <c r="O49" s="30"/>
      <c r="P49" s="30"/>
      <c r="Q49" s="30"/>
      <c r="R49" s="30"/>
      <c r="S49" s="30"/>
      <c r="U49" s="795"/>
      <c r="V49" s="30"/>
      <c r="W49" s="30"/>
      <c r="X49" s="30"/>
      <c r="Y49" s="30"/>
      <c r="Z49" s="30"/>
      <c r="AA49" s="30"/>
      <c r="AB49" s="30"/>
      <c r="AC49" s="30"/>
      <c r="AD49" s="30"/>
      <c r="AE49" s="30"/>
      <c r="AF49" s="30"/>
      <c r="AG49" s="30"/>
      <c r="AH49" s="781" t="s">
        <v>1472</v>
      </c>
      <c r="AI49" t="s">
        <v>1473</v>
      </c>
      <c r="AJ49" t="str">
        <f t="shared" si="0"/>
        <v>O221 Servicios de la deuda pública externa</v>
      </c>
      <c r="AL49" s="781"/>
      <c r="AM49" s="778"/>
      <c r="AO49" s="781">
        <v>4221</v>
      </c>
      <c r="AP49" t="s">
        <v>1473</v>
      </c>
      <c r="AQ49" t="str">
        <f t="shared" si="1"/>
        <v>4221 Servicios de la deuda pública externa</v>
      </c>
    </row>
    <row r="50" spans="1:43" x14ac:dyDescent="0.25">
      <c r="A50" s="30"/>
      <c r="B50" s="30"/>
      <c r="C50" s="30"/>
      <c r="D50" s="30"/>
      <c r="E50" s="30"/>
      <c r="F50" s="761" t="s">
        <v>612</v>
      </c>
      <c r="G50" s="30" t="s">
        <v>596</v>
      </c>
      <c r="H50" s="30" t="s">
        <v>559</v>
      </c>
      <c r="I50" s="783" t="s">
        <v>144</v>
      </c>
      <c r="J50" s="30" t="s">
        <v>494</v>
      </c>
      <c r="K50" s="30"/>
      <c r="L50" s="30"/>
      <c r="M50" s="30"/>
      <c r="N50" s="30"/>
      <c r="O50" s="30"/>
      <c r="P50" s="30"/>
      <c r="Q50" s="30"/>
      <c r="R50" s="30"/>
      <c r="S50" s="30"/>
      <c r="T50" s="443"/>
      <c r="U50" s="795"/>
      <c r="V50" s="30"/>
      <c r="W50" s="30"/>
      <c r="X50" s="30"/>
      <c r="Y50" s="30"/>
      <c r="Z50" s="30"/>
      <c r="AA50" s="30"/>
      <c r="AB50" s="30"/>
      <c r="AC50" s="30"/>
      <c r="AD50" s="30"/>
      <c r="AE50" s="30"/>
      <c r="AF50" s="30"/>
      <c r="AG50" s="30"/>
      <c r="AH50" t="s">
        <v>1474</v>
      </c>
      <c r="AI50" t="s">
        <v>1475</v>
      </c>
      <c r="AJ50" t="str">
        <f t="shared" si="0"/>
        <v>O22101 Principal</v>
      </c>
      <c r="AO50" s="782">
        <v>422101</v>
      </c>
      <c r="AP50" t="s">
        <v>1475</v>
      </c>
      <c r="AQ50" t="str">
        <f t="shared" si="1"/>
        <v>422101 Principal</v>
      </c>
    </row>
    <row r="51" spans="1:43" x14ac:dyDescent="0.25">
      <c r="A51" s="30"/>
      <c r="B51" s="30"/>
      <c r="C51" s="30"/>
      <c r="D51" s="30"/>
      <c r="E51" s="30"/>
      <c r="F51" s="761" t="s">
        <v>614</v>
      </c>
      <c r="G51" s="30" t="s">
        <v>596</v>
      </c>
      <c r="H51" s="30" t="s">
        <v>559</v>
      </c>
      <c r="I51" s="783" t="s">
        <v>144</v>
      </c>
      <c r="J51" s="30" t="s">
        <v>494</v>
      </c>
      <c r="K51" s="30"/>
      <c r="L51" s="30"/>
      <c r="M51" s="30"/>
      <c r="N51" s="30"/>
      <c r="O51" s="30"/>
      <c r="P51" s="30"/>
      <c r="Q51" s="30"/>
      <c r="R51" s="30"/>
      <c r="S51" s="30"/>
      <c r="T51" s="443"/>
      <c r="U51" s="795"/>
      <c r="V51" s="30"/>
      <c r="W51" s="30"/>
      <c r="X51" s="30"/>
      <c r="Y51" s="30"/>
      <c r="Z51" s="30"/>
      <c r="AA51" s="30"/>
      <c r="AB51" s="30"/>
      <c r="AC51" s="30"/>
      <c r="AD51" s="30"/>
      <c r="AE51" s="30"/>
      <c r="AF51" s="30"/>
      <c r="AG51" s="30"/>
      <c r="AH51" t="s">
        <v>1476</v>
      </c>
      <c r="AI51" t="s">
        <v>1477</v>
      </c>
      <c r="AJ51" t="str">
        <f t="shared" si="0"/>
        <v>O22102 Intereses</v>
      </c>
      <c r="AO51" s="782">
        <v>422102</v>
      </c>
      <c r="AP51" t="s">
        <v>1477</v>
      </c>
      <c r="AQ51" t="str">
        <f t="shared" si="1"/>
        <v>422102 Intereses</v>
      </c>
    </row>
    <row r="52" spans="1:43" x14ac:dyDescent="0.25">
      <c r="A52" s="30"/>
      <c r="B52" s="30"/>
      <c r="C52" s="30"/>
      <c r="D52" s="30"/>
      <c r="E52" s="30"/>
      <c r="F52" s="761" t="s">
        <v>615</v>
      </c>
      <c r="G52" s="30" t="s">
        <v>596</v>
      </c>
      <c r="H52" s="30" t="s">
        <v>557</v>
      </c>
      <c r="I52" s="783"/>
      <c r="J52" s="30" t="s">
        <v>494</v>
      </c>
      <c r="K52" s="30"/>
      <c r="L52" s="30"/>
      <c r="M52" s="30"/>
      <c r="N52" s="30"/>
      <c r="O52" s="30"/>
      <c r="P52" s="30"/>
      <c r="Q52" s="30"/>
      <c r="R52" s="30"/>
      <c r="S52" s="30"/>
      <c r="T52" s="443"/>
      <c r="U52" s="795"/>
      <c r="V52" s="30"/>
      <c r="W52" s="30"/>
      <c r="X52" s="30"/>
      <c r="Y52" s="30"/>
      <c r="Z52" s="30"/>
      <c r="AA52" s="30"/>
      <c r="AB52" s="30"/>
      <c r="AC52" s="30"/>
      <c r="AD52" s="30"/>
      <c r="AE52" s="30"/>
      <c r="AF52" s="30"/>
      <c r="AG52" s="30"/>
      <c r="AH52" s="781" t="s">
        <v>1478</v>
      </c>
      <c r="AI52" t="s">
        <v>1479</v>
      </c>
      <c r="AJ52" t="str">
        <f t="shared" si="0"/>
        <v>O222 Servicios de la deuda pública interna</v>
      </c>
      <c r="AO52" s="781">
        <v>4222</v>
      </c>
      <c r="AP52" t="s">
        <v>1479</v>
      </c>
      <c r="AQ52" t="str">
        <f t="shared" si="1"/>
        <v>4222 Servicios de la deuda pública interna</v>
      </c>
    </row>
    <row r="53" spans="1:43" x14ac:dyDescent="0.25">
      <c r="A53" s="30"/>
      <c r="B53" s="30"/>
      <c r="C53" s="30"/>
      <c r="D53" s="30"/>
      <c r="E53" s="30"/>
      <c r="F53" s="761" t="s">
        <v>616</v>
      </c>
      <c r="G53" s="30" t="s">
        <v>596</v>
      </c>
      <c r="H53" s="30" t="s">
        <v>547</v>
      </c>
      <c r="I53" s="783"/>
      <c r="J53" s="30" t="s">
        <v>494</v>
      </c>
      <c r="K53" s="30"/>
      <c r="L53" s="30"/>
      <c r="M53" s="30"/>
      <c r="N53" s="30"/>
      <c r="O53" s="30"/>
      <c r="P53" s="30"/>
      <c r="Q53" s="30"/>
      <c r="R53" s="30"/>
      <c r="S53" s="30"/>
      <c r="T53" s="443"/>
      <c r="U53" s="795"/>
      <c r="V53" s="30"/>
      <c r="W53" s="30"/>
      <c r="X53" s="30"/>
      <c r="Y53" s="30"/>
      <c r="Z53" s="30"/>
      <c r="AA53" s="30"/>
      <c r="AB53" s="30"/>
      <c r="AC53" s="30"/>
      <c r="AD53" s="30"/>
      <c r="AE53" s="30"/>
      <c r="AF53" s="30"/>
      <c r="AG53" s="30"/>
      <c r="AH53" t="s">
        <v>1480</v>
      </c>
      <c r="AI53" t="s">
        <v>1475</v>
      </c>
      <c r="AJ53" t="str">
        <f t="shared" si="0"/>
        <v>O22201 Principal</v>
      </c>
      <c r="AO53" s="782">
        <v>422201</v>
      </c>
      <c r="AP53" t="s">
        <v>1475</v>
      </c>
      <c r="AQ53" t="str">
        <f t="shared" si="1"/>
        <v>422201 Principal</v>
      </c>
    </row>
    <row r="54" spans="1:43" x14ac:dyDescent="0.25">
      <c r="A54" s="30"/>
      <c r="B54" s="30"/>
      <c r="C54" s="30"/>
      <c r="D54" s="30"/>
      <c r="E54" s="30"/>
      <c r="F54" s="761" t="s">
        <v>617</v>
      </c>
      <c r="G54" s="30" t="s">
        <v>596</v>
      </c>
      <c r="H54" s="30" t="s">
        <v>496</v>
      </c>
      <c r="I54" s="783"/>
      <c r="J54" s="30" t="s">
        <v>494</v>
      </c>
      <c r="K54" s="30"/>
      <c r="L54" s="30"/>
      <c r="M54" s="30"/>
      <c r="N54" s="30"/>
      <c r="O54" s="30"/>
      <c r="P54" s="30"/>
      <c r="Q54" s="30"/>
      <c r="R54" s="30"/>
      <c r="S54" s="30"/>
      <c r="T54" s="443"/>
      <c r="U54" s="257"/>
      <c r="V54" s="30"/>
      <c r="W54" s="30"/>
      <c r="X54" s="30"/>
      <c r="Y54" s="30"/>
      <c r="Z54" s="30"/>
      <c r="AA54" s="30"/>
      <c r="AB54" s="30"/>
      <c r="AC54" s="30"/>
      <c r="AD54" s="30"/>
      <c r="AE54" s="30"/>
      <c r="AF54" s="30"/>
      <c r="AG54" s="30"/>
      <c r="AH54" t="s">
        <v>1481</v>
      </c>
      <c r="AI54" t="s">
        <v>1477</v>
      </c>
      <c r="AJ54" t="str">
        <f t="shared" si="0"/>
        <v>O22202 Intereses</v>
      </c>
      <c r="AO54" s="782">
        <v>422202</v>
      </c>
      <c r="AP54" t="s">
        <v>1477</v>
      </c>
      <c r="AQ54" t="str">
        <f t="shared" si="1"/>
        <v>422202 Intereses</v>
      </c>
    </row>
    <row r="55" spans="1:43" x14ac:dyDescent="0.25">
      <c r="A55" s="30"/>
      <c r="B55" s="30"/>
      <c r="C55" s="30"/>
      <c r="D55" s="30"/>
      <c r="E55" s="30"/>
      <c r="F55" s="761" t="s">
        <v>618</v>
      </c>
      <c r="G55" s="30" t="s">
        <v>596</v>
      </c>
      <c r="H55" s="30" t="s">
        <v>555</v>
      </c>
      <c r="I55" s="1546" t="s">
        <v>144</v>
      </c>
      <c r="J55" s="30" t="s">
        <v>494</v>
      </c>
      <c r="K55" s="30"/>
      <c r="L55" s="30"/>
      <c r="M55" s="30"/>
      <c r="N55" s="30"/>
      <c r="O55" s="30"/>
      <c r="P55" s="30"/>
      <c r="Q55" s="30"/>
      <c r="R55" s="30"/>
      <c r="S55" s="30"/>
      <c r="T55" s="443"/>
      <c r="U55" s="795"/>
      <c r="V55" s="30"/>
      <c r="W55" s="30"/>
      <c r="X55" s="30"/>
      <c r="Y55" s="30"/>
      <c r="Z55" s="30"/>
      <c r="AA55" s="30"/>
      <c r="AB55" s="30"/>
      <c r="AC55" s="30"/>
      <c r="AD55" s="30"/>
      <c r="AE55" s="30"/>
      <c r="AF55" s="30"/>
      <c r="AG55" s="30"/>
      <c r="AH55" t="s">
        <v>1482</v>
      </c>
      <c r="AI55" t="s">
        <v>1483</v>
      </c>
      <c r="AJ55" t="str">
        <f t="shared" si="0"/>
        <v>O22203 Comisiones y otros GASTOS</v>
      </c>
      <c r="AL55" s="778"/>
      <c r="AO55" s="782">
        <v>422203</v>
      </c>
      <c r="AP55" t="s">
        <v>1483</v>
      </c>
      <c r="AQ55" t="str">
        <f t="shared" si="1"/>
        <v>422203 Comisiones y otros GASTOS</v>
      </c>
    </row>
    <row r="56" spans="1:43" x14ac:dyDescent="0.25">
      <c r="A56" s="30"/>
      <c r="B56" s="30"/>
      <c r="C56" s="30"/>
      <c r="D56" s="30"/>
      <c r="E56" s="30"/>
      <c r="F56" s="761" t="s">
        <v>619</v>
      </c>
      <c r="G56" s="30" t="s">
        <v>596</v>
      </c>
      <c r="H56" s="30" t="s">
        <v>559</v>
      </c>
      <c r="I56" s="783" t="s">
        <v>144</v>
      </c>
      <c r="J56" s="30" t="s">
        <v>494</v>
      </c>
      <c r="K56" s="30"/>
      <c r="L56" s="30"/>
      <c r="M56" s="30"/>
      <c r="N56" s="30"/>
      <c r="O56" s="30"/>
      <c r="P56" s="30"/>
      <c r="Q56" s="30"/>
      <c r="R56" s="30"/>
      <c r="S56" s="30"/>
      <c r="T56" s="796"/>
      <c r="U56" s="795"/>
      <c r="V56" s="30"/>
      <c r="W56" s="30"/>
      <c r="X56" s="30"/>
      <c r="Y56" s="30"/>
      <c r="Z56" s="30"/>
      <c r="AA56" s="30"/>
      <c r="AB56" s="30"/>
      <c r="AC56" s="30"/>
      <c r="AD56" s="30"/>
      <c r="AE56" s="30"/>
      <c r="AF56" s="30"/>
      <c r="AG56" s="30"/>
      <c r="AH56" s="781" t="s">
        <v>1484</v>
      </c>
      <c r="AI56" s="778" t="s">
        <v>1485</v>
      </c>
      <c r="AJ56" t="str">
        <f t="shared" si="0"/>
        <v>O23 INVERSIÓN</v>
      </c>
      <c r="AO56" s="781">
        <v>423</v>
      </c>
      <c r="AP56" s="778" t="s">
        <v>1485</v>
      </c>
      <c r="AQ56" t="str">
        <f t="shared" si="1"/>
        <v>423 INVERSIÓN</v>
      </c>
    </row>
    <row r="57" spans="1:43" x14ac:dyDescent="0.25">
      <c r="A57" s="30"/>
      <c r="B57" s="30"/>
      <c r="C57" s="30"/>
      <c r="D57" s="30"/>
      <c r="E57" s="30"/>
      <c r="F57" s="761" t="s">
        <v>393</v>
      </c>
      <c r="G57" s="30" t="s">
        <v>579</v>
      </c>
      <c r="H57" s="30" t="s">
        <v>541</v>
      </c>
      <c r="I57" s="783"/>
      <c r="J57" s="30" t="s">
        <v>494</v>
      </c>
      <c r="K57" s="30"/>
      <c r="L57" s="30"/>
      <c r="M57" s="30"/>
      <c r="N57" s="30"/>
      <c r="O57" s="30"/>
      <c r="P57" s="30"/>
      <c r="Q57" s="30"/>
      <c r="R57" s="30"/>
      <c r="S57" s="30"/>
      <c r="U57" s="795"/>
      <c r="V57" s="30"/>
      <c r="W57" s="30"/>
      <c r="X57" s="30"/>
      <c r="Y57" s="30"/>
      <c r="Z57" s="30"/>
      <c r="AA57" s="30"/>
      <c r="AB57" s="30"/>
      <c r="AC57" s="30"/>
      <c r="AD57" s="30"/>
      <c r="AE57" s="30"/>
      <c r="AF57" s="30"/>
      <c r="AG57" s="30"/>
      <c r="AH57" s="781" t="s">
        <v>1486</v>
      </c>
      <c r="AI57" s="778" t="s">
        <v>1487</v>
      </c>
      <c r="AJ57" t="str">
        <f t="shared" si="0"/>
        <v>O2301 Directa</v>
      </c>
      <c r="AO57" s="781">
        <v>42301</v>
      </c>
      <c r="AP57" s="778" t="s">
        <v>1487</v>
      </c>
      <c r="AQ57" t="str">
        <f t="shared" si="1"/>
        <v>42301 Directa</v>
      </c>
    </row>
    <row r="58" spans="1:43" x14ac:dyDescent="0.25">
      <c r="A58" s="30"/>
      <c r="B58" s="30"/>
      <c r="C58" s="30"/>
      <c r="D58" s="30"/>
      <c r="E58" s="30"/>
      <c r="F58" s="761" t="s">
        <v>394</v>
      </c>
      <c r="G58" s="30" t="s">
        <v>579</v>
      </c>
      <c r="H58" s="30" t="s">
        <v>550</v>
      </c>
      <c r="I58" s="783"/>
      <c r="J58" s="30" t="s">
        <v>494</v>
      </c>
      <c r="K58" s="30"/>
      <c r="L58" s="30"/>
      <c r="M58" s="30"/>
      <c r="N58" s="30"/>
      <c r="O58" s="30"/>
      <c r="P58" s="30"/>
      <c r="Q58" s="30"/>
      <c r="R58" s="30"/>
      <c r="S58" s="30"/>
      <c r="T58" s="443"/>
      <c r="U58" s="795"/>
      <c r="V58" s="30"/>
      <c r="W58" s="30"/>
      <c r="X58" s="30"/>
      <c r="Y58" s="30"/>
      <c r="Z58" s="30"/>
      <c r="AA58" s="30"/>
      <c r="AB58" s="30"/>
      <c r="AC58" s="30"/>
      <c r="AD58" s="30"/>
      <c r="AE58" s="30"/>
      <c r="AF58" s="30"/>
      <c r="AG58" s="30"/>
      <c r="AH58" t="s">
        <v>1488</v>
      </c>
      <c r="AI58" t="s">
        <v>1460</v>
      </c>
      <c r="AJ58" t="str">
        <f t="shared" si="0"/>
        <v>O233 Transferencias CORRIENTES</v>
      </c>
      <c r="AO58" s="782">
        <v>4233</v>
      </c>
      <c r="AP58" t="s">
        <v>1460</v>
      </c>
      <c r="AQ58" t="str">
        <f t="shared" si="1"/>
        <v>4233 Transferencias CORRIENTES</v>
      </c>
    </row>
    <row r="59" spans="1:43" x14ac:dyDescent="0.25">
      <c r="A59" s="30"/>
      <c r="B59" s="30"/>
      <c r="C59" s="30"/>
      <c r="D59" s="30"/>
      <c r="E59" s="30"/>
      <c r="F59" s="761" t="s">
        <v>395</v>
      </c>
      <c r="G59" s="30" t="s">
        <v>579</v>
      </c>
      <c r="H59" s="30" t="s">
        <v>119</v>
      </c>
      <c r="I59" s="783"/>
      <c r="J59" s="30" t="s">
        <v>494</v>
      </c>
      <c r="K59" s="30"/>
      <c r="L59" s="30"/>
      <c r="M59" s="30"/>
      <c r="N59" s="30"/>
      <c r="O59" s="30"/>
      <c r="P59" s="30"/>
      <c r="Q59" s="30"/>
      <c r="R59" s="30"/>
      <c r="S59" s="30"/>
      <c r="T59" s="443"/>
      <c r="U59" s="795"/>
      <c r="V59" s="30"/>
      <c r="W59" s="30"/>
      <c r="X59" s="30"/>
      <c r="Y59" s="30"/>
      <c r="Z59" s="30"/>
      <c r="AA59" s="30"/>
      <c r="AB59" s="30"/>
      <c r="AC59" s="30"/>
      <c r="AD59" s="30"/>
      <c r="AE59" s="30"/>
      <c r="AF59" s="30"/>
      <c r="AG59" s="30"/>
      <c r="AH59" t="s">
        <v>1489</v>
      </c>
      <c r="AI59" t="s">
        <v>1490</v>
      </c>
      <c r="AJ59" t="str">
        <f t="shared" si="0"/>
        <v>O23301 Subvenciones</v>
      </c>
      <c r="AO59" s="782">
        <v>423301</v>
      </c>
      <c r="AP59" t="s">
        <v>1490</v>
      </c>
      <c r="AQ59" t="str">
        <f t="shared" si="1"/>
        <v>423301 Subvenciones</v>
      </c>
    </row>
    <row r="60" spans="1:43" x14ac:dyDescent="0.25">
      <c r="A60" s="30"/>
      <c r="B60" s="30"/>
      <c r="C60" s="30"/>
      <c r="D60" s="30"/>
      <c r="E60" s="30"/>
      <c r="F60" s="761" t="s">
        <v>621</v>
      </c>
      <c r="G60" s="30" t="s">
        <v>596</v>
      </c>
      <c r="H60" s="30" t="s">
        <v>557</v>
      </c>
      <c r="I60" s="783"/>
      <c r="J60" s="30" t="s">
        <v>494</v>
      </c>
      <c r="K60" s="30"/>
      <c r="L60" s="30"/>
      <c r="M60" s="30"/>
      <c r="N60" s="30"/>
      <c r="O60" s="30"/>
      <c r="P60" s="30"/>
      <c r="Q60" s="30"/>
      <c r="R60" s="30"/>
      <c r="S60" s="30"/>
      <c r="U60" s="795"/>
      <c r="V60" s="30"/>
      <c r="W60" s="30"/>
      <c r="X60" s="30"/>
      <c r="Y60" s="30"/>
      <c r="Z60" s="30"/>
      <c r="AA60" s="30"/>
      <c r="AB60" s="30"/>
      <c r="AC60" s="30"/>
      <c r="AD60" s="30"/>
      <c r="AE60" s="30"/>
      <c r="AF60" s="30"/>
      <c r="AG60" s="30"/>
      <c r="AH60" t="s">
        <v>1491</v>
      </c>
      <c r="AI60" t="s">
        <v>1492</v>
      </c>
      <c r="AJ60" t="str">
        <f t="shared" si="0"/>
        <v>O23302 A empresas diferentes de subvenciones</v>
      </c>
      <c r="AL60" s="782"/>
      <c r="AM60" s="778"/>
      <c r="AO60" s="782">
        <v>423302</v>
      </c>
      <c r="AP60" t="s">
        <v>1492</v>
      </c>
      <c r="AQ60" t="str">
        <f t="shared" si="1"/>
        <v>423302 A empresas diferentes de subvenciones</v>
      </c>
    </row>
    <row r="61" spans="1:43" x14ac:dyDescent="0.25">
      <c r="A61" s="30"/>
      <c r="B61" s="30"/>
      <c r="C61" s="30"/>
      <c r="D61" s="30"/>
      <c r="E61" s="30"/>
      <c r="F61" s="761" t="s">
        <v>622</v>
      </c>
      <c r="G61" s="30" t="s">
        <v>626</v>
      </c>
      <c r="H61" s="30" t="s">
        <v>547</v>
      </c>
      <c r="I61" s="783"/>
      <c r="J61" s="30" t="s">
        <v>494</v>
      </c>
      <c r="K61" s="30"/>
      <c r="L61" s="30"/>
      <c r="M61" s="30"/>
      <c r="N61" s="30"/>
      <c r="O61" s="30"/>
      <c r="P61" s="30"/>
      <c r="Q61" s="30"/>
      <c r="R61" s="30"/>
      <c r="S61" s="30"/>
      <c r="T61" s="796" t="s">
        <v>1493</v>
      </c>
      <c r="U61" s="795"/>
      <c r="V61" s="30"/>
      <c r="W61" s="30"/>
      <c r="X61" s="30"/>
      <c r="Y61" s="30"/>
      <c r="Z61" s="30"/>
      <c r="AA61" s="30"/>
      <c r="AB61" s="30"/>
      <c r="AC61" s="30"/>
      <c r="AD61" s="30"/>
      <c r="AE61" s="30"/>
      <c r="AF61" s="30"/>
      <c r="AG61" s="30"/>
      <c r="AH61" t="s">
        <v>1494</v>
      </c>
      <c r="AI61" t="s">
        <v>1464</v>
      </c>
      <c r="AJ61" t="str">
        <f t="shared" si="0"/>
        <v>O23305 A entidades del gobierno</v>
      </c>
      <c r="AL61" s="782"/>
      <c r="AM61" s="778"/>
      <c r="AO61" s="782">
        <v>423305</v>
      </c>
      <c r="AP61" t="s">
        <v>1464</v>
      </c>
      <c r="AQ61" t="str">
        <f t="shared" si="1"/>
        <v>423305 A entidades del gobierno</v>
      </c>
    </row>
    <row r="62" spans="1:43" x14ac:dyDescent="0.25">
      <c r="A62" s="30"/>
      <c r="B62" s="30"/>
      <c r="C62" s="30"/>
      <c r="D62" s="30"/>
      <c r="E62" s="30"/>
      <c r="F62" s="761" t="s">
        <v>398</v>
      </c>
      <c r="G62" s="30" t="s">
        <v>628</v>
      </c>
      <c r="H62" s="30" t="s">
        <v>541</v>
      </c>
      <c r="I62" s="783"/>
      <c r="J62" s="30" t="s">
        <v>494</v>
      </c>
      <c r="K62" s="30"/>
      <c r="L62" s="30"/>
      <c r="M62" s="30"/>
      <c r="N62" s="30"/>
      <c r="O62" s="30"/>
      <c r="P62" s="30"/>
      <c r="Q62" s="30"/>
      <c r="R62" s="30"/>
      <c r="S62" s="30"/>
      <c r="T62" s="796" t="s">
        <v>1495</v>
      </c>
      <c r="U62" s="795"/>
      <c r="V62" s="30"/>
      <c r="W62" s="30"/>
      <c r="X62" s="30"/>
      <c r="Y62" s="30"/>
      <c r="Z62" s="30"/>
      <c r="AA62" s="30"/>
      <c r="AB62" s="30"/>
      <c r="AC62" s="30"/>
      <c r="AD62" s="30"/>
      <c r="AE62" s="30"/>
      <c r="AF62" s="30"/>
      <c r="AG62" s="30"/>
      <c r="AH62" t="s">
        <v>1496</v>
      </c>
      <c r="AI62" t="s">
        <v>1497</v>
      </c>
      <c r="AJ62" t="str">
        <f t="shared" si="0"/>
        <v>O23307 Prestaciones para cubrir riesgos sociales</v>
      </c>
      <c r="AL62" s="782"/>
      <c r="AM62" s="778"/>
      <c r="AO62" s="782">
        <v>423307</v>
      </c>
      <c r="AP62" t="s">
        <v>1497</v>
      </c>
      <c r="AQ62" t="str">
        <f t="shared" si="1"/>
        <v>423307 Prestaciones para cubrir riesgos sociales</v>
      </c>
    </row>
    <row r="63" spans="1:43" x14ac:dyDescent="0.25">
      <c r="A63" s="30"/>
      <c r="B63" s="30"/>
      <c r="C63" s="30"/>
      <c r="D63" s="30"/>
      <c r="E63" s="30"/>
      <c r="F63" s="761" t="s">
        <v>399</v>
      </c>
      <c r="G63" s="30" t="s">
        <v>628</v>
      </c>
      <c r="H63" s="30" t="s">
        <v>559</v>
      </c>
      <c r="I63" s="783" t="s">
        <v>144</v>
      </c>
      <c r="J63" s="30" t="s">
        <v>494</v>
      </c>
      <c r="K63" s="30"/>
      <c r="L63" s="30"/>
      <c r="M63" s="30"/>
      <c r="N63" s="30"/>
      <c r="O63" s="30"/>
      <c r="P63" s="30"/>
      <c r="Q63" s="30"/>
      <c r="R63" s="30"/>
      <c r="S63" s="30"/>
      <c r="T63" s="796" t="s">
        <v>1498</v>
      </c>
      <c r="U63" s="795"/>
      <c r="V63" s="30"/>
      <c r="W63" s="30"/>
      <c r="X63" s="30"/>
      <c r="Y63" s="30"/>
      <c r="Z63" s="30"/>
      <c r="AA63" s="30"/>
      <c r="AB63" s="30"/>
      <c r="AC63" s="30"/>
      <c r="AD63" s="30"/>
      <c r="AE63" s="30"/>
      <c r="AF63" s="30"/>
      <c r="AG63" s="30"/>
      <c r="AH63" t="s">
        <v>1499</v>
      </c>
      <c r="AI63" t="s">
        <v>1500</v>
      </c>
      <c r="AJ63" t="str">
        <f t="shared" si="0"/>
        <v>O23313 Sentencias y conciliaciones</v>
      </c>
      <c r="AL63" s="782"/>
      <c r="AM63" s="778"/>
      <c r="AO63" s="782">
        <v>423313</v>
      </c>
      <c r="AP63" t="s">
        <v>1500</v>
      </c>
      <c r="AQ63" t="str">
        <f t="shared" si="1"/>
        <v>423313 Sentencias y conciliaciones</v>
      </c>
    </row>
    <row r="64" spans="1:43" x14ac:dyDescent="0.25">
      <c r="A64" s="30"/>
      <c r="B64" s="30"/>
      <c r="C64" s="30"/>
      <c r="D64" s="30"/>
      <c r="E64" s="30"/>
      <c r="F64" s="761" t="s">
        <v>400</v>
      </c>
      <c r="G64" s="30" t="s">
        <v>628</v>
      </c>
      <c r="H64" s="30" t="s">
        <v>550</v>
      </c>
      <c r="I64" s="783"/>
      <c r="J64" s="30" t="s">
        <v>494</v>
      </c>
      <c r="K64" s="30"/>
      <c r="L64" s="30"/>
      <c r="M64" s="30"/>
      <c r="N64" s="30"/>
      <c r="O64" s="30"/>
      <c r="P64" s="30"/>
      <c r="Q64" s="30"/>
      <c r="R64" s="30"/>
      <c r="S64" s="30"/>
      <c r="T64" s="796" t="s">
        <v>1501</v>
      </c>
      <c r="U64" s="795"/>
      <c r="V64" s="30"/>
      <c r="W64" s="30"/>
      <c r="X64" s="30"/>
      <c r="Y64" s="30"/>
      <c r="Z64" s="30"/>
      <c r="AA64" s="30"/>
      <c r="AB64" s="30"/>
      <c r="AC64" s="30"/>
      <c r="AD64" s="30"/>
      <c r="AE64" s="30"/>
      <c r="AF64" s="30"/>
      <c r="AG64" s="30"/>
      <c r="AH64" t="s">
        <v>1502</v>
      </c>
      <c r="AI64" t="s">
        <v>1503</v>
      </c>
      <c r="AJ64" t="str">
        <f t="shared" si="0"/>
        <v>O234 Transferencias para INVERSIÓN</v>
      </c>
      <c r="AL64" s="782"/>
      <c r="AM64" s="778"/>
      <c r="AO64" s="782">
        <v>4234</v>
      </c>
      <c r="AP64" t="s">
        <v>1503</v>
      </c>
      <c r="AQ64" t="str">
        <f t="shared" si="1"/>
        <v>4234 Transferencias para INVERSIÓN</v>
      </c>
    </row>
    <row r="65" spans="1:43" x14ac:dyDescent="0.25">
      <c r="A65" s="30"/>
      <c r="B65" s="30"/>
      <c r="C65" s="30"/>
      <c r="D65" s="30"/>
      <c r="E65" s="30"/>
      <c r="F65" s="761" t="s">
        <v>401</v>
      </c>
      <c r="G65" s="30" t="s">
        <v>628</v>
      </c>
      <c r="H65" s="30" t="s">
        <v>557</v>
      </c>
      <c r="I65" s="783"/>
      <c r="J65" s="30" t="s">
        <v>494</v>
      </c>
      <c r="K65" s="30"/>
      <c r="L65" s="30"/>
      <c r="M65" s="30"/>
      <c r="N65" s="30"/>
      <c r="O65" s="30"/>
      <c r="P65" s="30"/>
      <c r="Q65" s="30"/>
      <c r="R65" s="30"/>
      <c r="S65" s="30"/>
      <c r="T65" s="796" t="s">
        <v>1504</v>
      </c>
      <c r="U65" s="795"/>
      <c r="V65" s="30"/>
      <c r="W65" s="30"/>
      <c r="X65" s="30"/>
      <c r="Y65" s="30"/>
      <c r="Z65" s="30"/>
      <c r="AA65" s="30"/>
      <c r="AB65" s="30"/>
      <c r="AC65" s="30"/>
      <c r="AD65" s="30"/>
      <c r="AE65" s="30"/>
      <c r="AF65" s="30"/>
      <c r="AG65" s="30"/>
      <c r="AH65" t="s">
        <v>1505</v>
      </c>
      <c r="AI65" t="s">
        <v>1506</v>
      </c>
      <c r="AJ65" t="str">
        <f t="shared" si="0"/>
        <v>O23401 Transferencia Distrital</v>
      </c>
      <c r="AO65" s="782">
        <v>423401</v>
      </c>
      <c r="AP65" t="s">
        <v>1506</v>
      </c>
      <c r="AQ65" t="str">
        <f t="shared" si="1"/>
        <v>423401 Transferencia Distrital</v>
      </c>
    </row>
    <row r="66" spans="1:43" x14ac:dyDescent="0.25">
      <c r="A66" s="30"/>
      <c r="B66" s="30"/>
      <c r="C66" s="30"/>
      <c r="D66" s="30"/>
      <c r="E66" s="30"/>
      <c r="F66" s="761" t="s">
        <v>402</v>
      </c>
      <c r="G66" s="30" t="s">
        <v>600</v>
      </c>
      <c r="H66" s="30" t="s">
        <v>119</v>
      </c>
      <c r="I66" s="783"/>
      <c r="J66" s="30" t="s">
        <v>494</v>
      </c>
      <c r="K66" s="30"/>
      <c r="L66" s="30"/>
      <c r="M66" s="30"/>
      <c r="N66" s="30"/>
      <c r="O66" s="30"/>
      <c r="P66" s="30"/>
      <c r="Q66" s="30"/>
      <c r="R66" s="30"/>
      <c r="S66" s="30"/>
      <c r="T66" s="796" t="s">
        <v>1507</v>
      </c>
      <c r="U66" s="795"/>
      <c r="V66" s="30"/>
      <c r="W66" s="30"/>
      <c r="X66" s="30"/>
      <c r="Y66" s="30"/>
      <c r="Z66" s="30"/>
      <c r="AA66" s="30"/>
      <c r="AB66" s="1697" t="s">
        <v>1508</v>
      </c>
      <c r="AC66" s="1697"/>
      <c r="AD66" s="30"/>
      <c r="AE66" s="30"/>
      <c r="AF66" s="30"/>
      <c r="AG66" s="30"/>
      <c r="AH66" s="781" t="s">
        <v>1509</v>
      </c>
      <c r="AI66" s="778" t="s">
        <v>1510</v>
      </c>
      <c r="AJ66" t="str">
        <f t="shared" si="0"/>
        <v>O4 DISPONIBILIDAD FINAL</v>
      </c>
      <c r="AO66" s="781">
        <v>44</v>
      </c>
      <c r="AP66" s="778" t="s">
        <v>1510</v>
      </c>
      <c r="AQ66" t="str">
        <f t="shared" si="1"/>
        <v>44 DISPONIBILIDAD FINAL</v>
      </c>
    </row>
    <row r="67" spans="1:43" x14ac:dyDescent="0.25">
      <c r="A67" s="30"/>
      <c r="B67" s="30"/>
      <c r="C67" s="30"/>
      <c r="D67" s="30"/>
      <c r="E67" s="30"/>
      <c r="F67" s="761" t="s">
        <v>403</v>
      </c>
      <c r="G67" s="30" t="s">
        <v>628</v>
      </c>
      <c r="H67" s="30" t="s">
        <v>119</v>
      </c>
      <c r="I67" s="783"/>
      <c r="J67" s="30" t="s">
        <v>494</v>
      </c>
      <c r="K67" s="30"/>
      <c r="L67" s="30"/>
      <c r="M67" s="30"/>
      <c r="N67" s="30"/>
      <c r="O67" s="30"/>
      <c r="P67" s="30"/>
      <c r="Q67" s="30"/>
      <c r="R67" s="30"/>
      <c r="S67" s="30"/>
      <c r="U67" s="795"/>
      <c r="V67" s="30"/>
      <c r="W67" s="30"/>
      <c r="X67" s="30"/>
      <c r="Y67" s="30"/>
      <c r="Z67" s="30"/>
      <c r="AA67" s="30"/>
      <c r="AB67" s="30"/>
      <c r="AC67" s="30"/>
      <c r="AD67" s="30"/>
      <c r="AE67" s="30"/>
      <c r="AF67" s="30"/>
      <c r="AG67" s="30"/>
      <c r="AJ67" t="str">
        <f t="shared" si="0"/>
        <v xml:space="preserve"> </v>
      </c>
      <c r="AQ67" t="str">
        <f t="shared" si="1"/>
        <v xml:space="preserve"> </v>
      </c>
    </row>
    <row r="68" spans="1:43" x14ac:dyDescent="0.25">
      <c r="A68" s="30"/>
      <c r="B68" s="30"/>
      <c r="C68" s="30"/>
      <c r="D68" s="30"/>
      <c r="E68" s="30"/>
      <c r="F68" s="761" t="s">
        <v>404</v>
      </c>
      <c r="G68" s="30" t="s">
        <v>628</v>
      </c>
      <c r="H68" s="30" t="s">
        <v>550</v>
      </c>
      <c r="I68" s="783"/>
      <c r="J68" s="30" t="s">
        <v>494</v>
      </c>
      <c r="K68" s="30"/>
      <c r="L68" s="30"/>
      <c r="M68" s="30"/>
      <c r="N68" s="30"/>
      <c r="O68" s="30"/>
      <c r="P68" s="30"/>
      <c r="Q68" s="30"/>
      <c r="R68" s="30"/>
      <c r="S68" s="30"/>
      <c r="U68" s="795"/>
      <c r="V68" s="30"/>
      <c r="W68" s="30"/>
      <c r="X68" s="30"/>
      <c r="Y68" s="30"/>
      <c r="Z68" s="30"/>
      <c r="AA68" s="30"/>
      <c r="AB68" s="797" t="s">
        <v>790</v>
      </c>
      <c r="AC68" s="410" t="s">
        <v>791</v>
      </c>
      <c r="AE68" s="30"/>
      <c r="AF68" s="30"/>
      <c r="AG68" s="30"/>
      <c r="AH68" s="778" t="s">
        <v>1511</v>
      </c>
      <c r="AJ68" t="str">
        <f t="shared" si="0"/>
        <v xml:space="preserve">CÓDIGO OTROS GASTOS </v>
      </c>
      <c r="AO68" s="778" t="s">
        <v>1511</v>
      </c>
      <c r="AQ68" t="str">
        <f t="shared" si="1"/>
        <v xml:space="preserve">CÓDIGO OTROS GASTOS </v>
      </c>
    </row>
    <row r="69" spans="1:43" ht="14.65" customHeight="1" x14ac:dyDescent="0.25">
      <c r="A69" s="30"/>
      <c r="B69" s="30"/>
      <c r="C69" s="30"/>
      <c r="D69" s="30"/>
      <c r="E69" s="30"/>
      <c r="F69" s="1550" t="s">
        <v>629</v>
      </c>
      <c r="G69" s="300" t="s">
        <v>624</v>
      </c>
      <c r="H69" s="30" t="s">
        <v>550</v>
      </c>
      <c r="I69" s="783" t="s">
        <v>1353</v>
      </c>
      <c r="J69" s="30"/>
      <c r="K69" s="30"/>
      <c r="L69" s="30"/>
      <c r="M69" s="30"/>
      <c r="N69" s="30"/>
      <c r="O69" s="30"/>
      <c r="P69" s="30"/>
      <c r="Q69" s="30"/>
      <c r="R69" s="30"/>
      <c r="S69" s="30"/>
      <c r="U69" s="795"/>
      <c r="V69" s="30"/>
      <c r="W69" s="30"/>
      <c r="X69" s="30"/>
      <c r="Y69" s="30"/>
      <c r="Z69" s="30"/>
      <c r="AA69" s="30"/>
      <c r="AB69" s="798" t="s">
        <v>794</v>
      </c>
      <c r="AC69" s="799" t="s">
        <v>795</v>
      </c>
      <c r="AE69" s="30"/>
      <c r="AF69" s="30"/>
      <c r="AG69" s="30"/>
      <c r="AJ69" t="str">
        <f t="shared" ref="AJ69:AJ77" si="2">CONCATENATE(AH69," ",AI69)</f>
        <v xml:space="preserve"> </v>
      </c>
      <c r="AQ69" t="str">
        <f t="shared" ref="AQ69:AQ77" si="3">CONCATENATE(AO69," ",AP69)</f>
        <v xml:space="preserve"> </v>
      </c>
    </row>
    <row r="70" spans="1:43" ht="18.75" customHeight="1" x14ac:dyDescent="0.25">
      <c r="A70" s="30"/>
      <c r="B70" s="30"/>
      <c r="C70" s="30"/>
      <c r="D70" s="30"/>
      <c r="E70" s="30"/>
      <c r="F70" s="761" t="s">
        <v>120</v>
      </c>
      <c r="G70" s="30" t="s">
        <v>635</v>
      </c>
      <c r="H70" s="30" t="s">
        <v>119</v>
      </c>
      <c r="I70" s="783" t="s">
        <v>1353</v>
      </c>
      <c r="J70" s="30"/>
      <c r="K70" s="30"/>
      <c r="L70" s="30"/>
      <c r="M70" s="30"/>
      <c r="N70" s="30"/>
      <c r="O70" s="30"/>
      <c r="P70" s="30"/>
      <c r="Q70" s="30"/>
      <c r="R70" s="30"/>
      <c r="S70" s="30"/>
      <c r="U70" s="795"/>
      <c r="V70" s="30"/>
      <c r="W70" s="30"/>
      <c r="X70" s="30"/>
      <c r="Y70" s="30"/>
      <c r="Z70" s="30"/>
      <c r="AA70" s="30"/>
      <c r="AB70" s="798" t="s">
        <v>1512</v>
      </c>
      <c r="AC70" s="800" t="s">
        <v>796</v>
      </c>
      <c r="AE70" s="30"/>
      <c r="AF70" s="30"/>
      <c r="AG70" s="30"/>
      <c r="AH70" s="782">
        <v>45</v>
      </c>
      <c r="AI70" s="778" t="s">
        <v>794</v>
      </c>
      <c r="AJ70" t="str">
        <f>CONCATENATE(AH70," ",AI70)</f>
        <v>45 GASTOS DE COMERCIALIZACIÓN Y PRODUCCIÓN</v>
      </c>
      <c r="AO70" s="782">
        <v>45</v>
      </c>
      <c r="AP70" s="778" t="s">
        <v>794</v>
      </c>
      <c r="AQ70" t="str">
        <f t="shared" si="3"/>
        <v>45 GASTOS DE COMERCIALIZACIÓN Y PRODUCCIÓN</v>
      </c>
    </row>
    <row r="71" spans="1:43" x14ac:dyDescent="0.25">
      <c r="A71" s="30"/>
      <c r="B71" s="30"/>
      <c r="C71" s="30"/>
      <c r="D71" s="30"/>
      <c r="E71" s="30"/>
      <c r="F71" s="761" t="s">
        <v>632</v>
      </c>
      <c r="G71" s="30" t="s">
        <v>485</v>
      </c>
      <c r="H71" s="30" t="s">
        <v>530</v>
      </c>
      <c r="I71" s="783"/>
      <c r="J71" s="30" t="s">
        <v>494</v>
      </c>
      <c r="K71" s="30"/>
      <c r="L71" s="30"/>
      <c r="M71" s="30"/>
      <c r="N71" s="30"/>
      <c r="O71" s="30"/>
      <c r="P71" s="30"/>
      <c r="Q71" s="30"/>
      <c r="R71" s="30"/>
      <c r="S71" s="30"/>
      <c r="U71" s="795"/>
      <c r="V71" s="30"/>
      <c r="W71" s="30"/>
      <c r="X71" s="30"/>
      <c r="Y71" s="30"/>
      <c r="Z71" s="30"/>
      <c r="AA71" s="30"/>
      <c r="AB71" s="801"/>
      <c r="AC71" s="799" t="s">
        <v>1452</v>
      </c>
      <c r="AD71" s="30"/>
      <c r="AE71" s="30"/>
      <c r="AF71" s="30"/>
      <c r="AG71" s="30"/>
      <c r="AH71" s="782">
        <v>4501</v>
      </c>
      <c r="AI71" s="778" t="s">
        <v>794</v>
      </c>
      <c r="AJ71" t="str">
        <f t="shared" si="2"/>
        <v>4501 GASTOS DE COMERCIALIZACIÓN Y PRODUCCIÓN</v>
      </c>
      <c r="AO71" s="782">
        <v>4501</v>
      </c>
      <c r="AP71" s="778" t="s">
        <v>794</v>
      </c>
      <c r="AQ71" t="str">
        <f t="shared" si="3"/>
        <v>4501 GASTOS DE COMERCIALIZACIÓN Y PRODUCCIÓN</v>
      </c>
    </row>
    <row r="72" spans="1:43" x14ac:dyDescent="0.25">
      <c r="A72" s="30"/>
      <c r="B72" s="30"/>
      <c r="C72" s="30"/>
      <c r="D72" s="30"/>
      <c r="E72" s="30"/>
      <c r="F72" s="761" t="s">
        <v>406</v>
      </c>
      <c r="G72" s="30" t="s">
        <v>628</v>
      </c>
      <c r="H72" s="30" t="s">
        <v>550</v>
      </c>
      <c r="I72" s="783" t="s">
        <v>1353</v>
      </c>
      <c r="J72" s="30"/>
      <c r="K72" s="30"/>
      <c r="L72" s="30"/>
      <c r="M72" s="30"/>
      <c r="N72" s="30"/>
      <c r="O72" s="30"/>
      <c r="P72" s="30"/>
      <c r="Q72" s="30"/>
      <c r="R72" s="30"/>
      <c r="S72" s="30"/>
      <c r="T72" s="30"/>
      <c r="U72" s="795"/>
      <c r="V72" s="30"/>
      <c r="W72" s="30"/>
      <c r="X72" s="30"/>
      <c r="Y72" s="30"/>
      <c r="Z72" s="30"/>
      <c r="AA72" s="30"/>
      <c r="AB72" s="801"/>
      <c r="AC72" s="801"/>
      <c r="AD72" s="30"/>
      <c r="AE72" s="30"/>
      <c r="AF72" s="30"/>
      <c r="AG72" s="30"/>
      <c r="AH72" s="782">
        <v>450101</v>
      </c>
      <c r="AI72" t="s">
        <v>1640</v>
      </c>
      <c r="AJ72" t="str">
        <f t="shared" si="2"/>
        <v>450101 Materiales y suministros</v>
      </c>
      <c r="AO72" s="782">
        <v>450101</v>
      </c>
      <c r="AP72" t="s">
        <v>1640</v>
      </c>
      <c r="AQ72" t="str">
        <f t="shared" si="3"/>
        <v>450101 Materiales y suministros</v>
      </c>
    </row>
    <row r="73" spans="1:43" ht="22.5" customHeight="1" x14ac:dyDescent="0.25">
      <c r="A73" s="30"/>
      <c r="B73" s="30"/>
      <c r="C73" s="30"/>
      <c r="D73" s="30"/>
      <c r="E73" s="30"/>
      <c r="F73" s="761" t="s">
        <v>407</v>
      </c>
      <c r="G73" s="30" t="s">
        <v>1452</v>
      </c>
      <c r="H73" s="30" t="s">
        <v>555</v>
      </c>
      <c r="I73" s="783" t="s">
        <v>1353</v>
      </c>
      <c r="J73" s="30"/>
      <c r="K73" s="30"/>
      <c r="L73" s="30"/>
      <c r="M73" s="30"/>
      <c r="N73" s="30"/>
      <c r="O73" s="30"/>
      <c r="P73" s="30"/>
      <c r="Q73" s="30"/>
      <c r="R73" s="30"/>
      <c r="S73" s="30"/>
      <c r="T73" s="30"/>
      <c r="U73" s="795"/>
      <c r="V73" s="30"/>
      <c r="W73" s="30"/>
      <c r="X73" s="30"/>
      <c r="Y73" s="30"/>
      <c r="Z73" s="30"/>
      <c r="AA73" s="30"/>
      <c r="AB73" s="802" t="s">
        <v>797</v>
      </c>
      <c r="AC73" s="801"/>
      <c r="AD73" s="30"/>
      <c r="AE73" s="30"/>
      <c r="AF73" s="30"/>
      <c r="AG73" s="30"/>
      <c r="AH73" s="782">
        <v>16</v>
      </c>
      <c r="AI73" s="778" t="s">
        <v>797</v>
      </c>
      <c r="AJ73" t="str">
        <f t="shared" si="2"/>
        <v>16 RESERVAS PRESUPUESTALES CONSTITUIDAS</v>
      </c>
      <c r="AO73" s="782"/>
      <c r="AP73" s="778" t="s">
        <v>797</v>
      </c>
      <c r="AQ73" t="str">
        <f t="shared" si="3"/>
        <v xml:space="preserve"> RESERVAS PRESUPUESTALES CONSTITUIDAS</v>
      </c>
    </row>
    <row r="74" spans="1:43" x14ac:dyDescent="0.25">
      <c r="A74" s="30"/>
      <c r="B74" s="30"/>
      <c r="C74" s="30"/>
      <c r="D74" s="30"/>
      <c r="E74" s="30"/>
      <c r="F74" s="761" t="s">
        <v>408</v>
      </c>
      <c r="G74" s="30" t="s">
        <v>485</v>
      </c>
      <c r="H74" s="30" t="s">
        <v>535</v>
      </c>
      <c r="I74" s="783"/>
      <c r="J74" s="30" t="s">
        <v>494</v>
      </c>
      <c r="K74" s="30"/>
      <c r="L74" s="30"/>
      <c r="M74" s="30"/>
      <c r="N74" s="30"/>
      <c r="O74" s="30"/>
      <c r="P74" s="30"/>
      <c r="Q74" s="30"/>
      <c r="R74" s="30"/>
      <c r="S74" s="30"/>
      <c r="T74" s="30"/>
      <c r="U74" s="30"/>
      <c r="V74" s="30"/>
      <c r="W74" s="30"/>
      <c r="X74" s="30"/>
      <c r="Y74" s="30"/>
      <c r="Z74" s="30"/>
      <c r="AA74" s="30"/>
      <c r="AB74" s="802" t="s">
        <v>1512</v>
      </c>
      <c r="AC74" s="614"/>
      <c r="AD74" s="30"/>
      <c r="AE74" s="30"/>
      <c r="AF74" s="30"/>
      <c r="AG74" s="30"/>
      <c r="AH74" s="782">
        <v>17</v>
      </c>
      <c r="AI74" s="778" t="s">
        <v>798</v>
      </c>
      <c r="AJ74" t="str">
        <f t="shared" si="2"/>
        <v>17 CUENTAS POR PAGAR</v>
      </c>
      <c r="AO74" s="782"/>
      <c r="AP74" s="778" t="s">
        <v>798</v>
      </c>
      <c r="AQ74" t="str">
        <f t="shared" si="3"/>
        <v xml:space="preserve"> CUENTAS POR PAGAR</v>
      </c>
    </row>
    <row r="75" spans="1:43" x14ac:dyDescent="0.25">
      <c r="A75" s="30"/>
      <c r="B75" s="30"/>
      <c r="C75" s="30"/>
      <c r="D75" s="30"/>
      <c r="E75" s="30"/>
      <c r="F75" s="761" t="s">
        <v>409</v>
      </c>
      <c r="G75" s="30" t="s">
        <v>637</v>
      </c>
      <c r="H75" s="30" t="s">
        <v>483</v>
      </c>
      <c r="I75" s="783"/>
      <c r="J75" s="30" t="s">
        <v>494</v>
      </c>
      <c r="K75" s="30"/>
      <c r="L75" s="30"/>
      <c r="M75" s="30"/>
      <c r="N75" s="30"/>
      <c r="O75" s="30"/>
      <c r="P75" s="30"/>
      <c r="Q75" s="30"/>
      <c r="R75" s="30"/>
      <c r="S75" s="30"/>
      <c r="T75" s="30"/>
      <c r="U75" s="30"/>
      <c r="V75" s="30"/>
      <c r="W75" s="30"/>
      <c r="X75" s="30"/>
      <c r="Y75" s="30"/>
      <c r="Z75" s="30"/>
      <c r="AA75" s="30"/>
      <c r="AB75" s="803"/>
      <c r="AC75" s="801"/>
      <c r="AD75" s="30"/>
      <c r="AE75" s="30"/>
      <c r="AF75" s="30"/>
      <c r="AG75" s="30"/>
      <c r="AH75" s="782">
        <v>18</v>
      </c>
      <c r="AI75" s="778" t="s">
        <v>799</v>
      </c>
      <c r="AJ75" t="str">
        <f t="shared" si="2"/>
        <v>18 OBLIGACIONES POR PAGAR</v>
      </c>
      <c r="AP75" s="778" t="s">
        <v>799</v>
      </c>
      <c r="AQ75" t="str">
        <f t="shared" si="3"/>
        <v xml:space="preserve"> OBLIGACIONES POR PAGAR</v>
      </c>
    </row>
    <row r="76" spans="1:43" x14ac:dyDescent="0.25">
      <c r="A76" s="30"/>
      <c r="B76" s="30"/>
      <c r="C76" s="30"/>
      <c r="D76" s="30"/>
      <c r="E76" s="30"/>
      <c r="F76" s="761" t="s">
        <v>410</v>
      </c>
      <c r="G76" s="30" t="s">
        <v>637</v>
      </c>
      <c r="H76" s="30" t="s">
        <v>483</v>
      </c>
      <c r="I76" s="783"/>
      <c r="J76" s="30" t="s">
        <v>494</v>
      </c>
      <c r="K76" s="30"/>
      <c r="L76" s="30"/>
      <c r="M76" s="30"/>
      <c r="N76" s="30"/>
      <c r="O76" s="30"/>
      <c r="P76" s="30"/>
      <c r="Q76" s="30"/>
      <c r="R76" s="30"/>
      <c r="S76" s="30"/>
      <c r="T76" s="30"/>
      <c r="U76" s="30"/>
      <c r="V76" s="30"/>
      <c r="W76" s="30"/>
      <c r="X76" s="30"/>
      <c r="Y76" s="30"/>
      <c r="Z76" s="30"/>
      <c r="AA76" s="30"/>
      <c r="AB76" s="802" t="s">
        <v>798</v>
      </c>
      <c r="AC76" s="801"/>
      <c r="AD76" s="30"/>
      <c r="AE76" s="30"/>
      <c r="AF76" s="30"/>
      <c r="AG76" s="30"/>
      <c r="AH76" s="782">
        <v>19</v>
      </c>
      <c r="AI76" s="778" t="s">
        <v>520</v>
      </c>
      <c r="AJ76" t="str">
        <f t="shared" si="2"/>
        <v>19 PASIVOS EXIGIBLES</v>
      </c>
      <c r="AP76" s="778" t="s">
        <v>520</v>
      </c>
      <c r="AQ76" t="str">
        <f t="shared" si="3"/>
        <v xml:space="preserve"> PASIVOS EXIGIBLES</v>
      </c>
    </row>
    <row r="77" spans="1:43" x14ac:dyDescent="0.25">
      <c r="A77" s="30"/>
      <c r="B77" s="30"/>
      <c r="C77" s="30"/>
      <c r="D77" s="30"/>
      <c r="E77" s="30"/>
      <c r="F77" s="761" t="s">
        <v>411</v>
      </c>
      <c r="G77" s="30" t="s">
        <v>637</v>
      </c>
      <c r="H77" s="30" t="s">
        <v>483</v>
      </c>
      <c r="I77" s="783"/>
      <c r="J77" s="30" t="s">
        <v>494</v>
      </c>
      <c r="K77" s="30"/>
      <c r="L77" s="30"/>
      <c r="M77" s="30"/>
      <c r="N77" s="30"/>
      <c r="O77" s="30"/>
      <c r="P77" s="30"/>
      <c r="Q77" s="30"/>
      <c r="R77" s="30"/>
      <c r="S77" s="30"/>
      <c r="T77" s="30"/>
      <c r="U77" s="30"/>
      <c r="V77" s="30"/>
      <c r="W77" s="30"/>
      <c r="X77" s="30"/>
      <c r="Y77" s="30"/>
      <c r="Z77" s="30"/>
      <c r="AA77" s="30"/>
      <c r="AB77" s="802" t="s">
        <v>1512</v>
      </c>
      <c r="AC77" s="801"/>
      <c r="AD77" s="30"/>
      <c r="AE77" s="30"/>
      <c r="AF77" s="30"/>
      <c r="AG77" s="30"/>
      <c r="AH77" s="782">
        <v>20</v>
      </c>
      <c r="AI77" s="778" t="s">
        <v>527</v>
      </c>
      <c r="AJ77" t="str">
        <f t="shared" si="2"/>
        <v>20 VIGENCIAS FUTURAS</v>
      </c>
      <c r="AP77" s="778" t="s">
        <v>527</v>
      </c>
      <c r="AQ77" t="str">
        <f t="shared" si="3"/>
        <v xml:space="preserve"> VIGENCIAS FUTURAS</v>
      </c>
    </row>
    <row r="78" spans="1:43" x14ac:dyDescent="0.25">
      <c r="A78" s="30"/>
      <c r="B78" s="30"/>
      <c r="C78" s="30"/>
      <c r="D78" s="30"/>
      <c r="E78" s="30"/>
      <c r="F78" s="761" t="s">
        <v>412</v>
      </c>
      <c r="G78" s="30" t="s">
        <v>637</v>
      </c>
      <c r="H78" s="30" t="s">
        <v>483</v>
      </c>
      <c r="I78" s="783"/>
      <c r="J78" s="30" t="s">
        <v>494</v>
      </c>
      <c r="K78" s="30"/>
      <c r="L78" s="30"/>
      <c r="M78" s="30"/>
      <c r="N78" s="30"/>
      <c r="O78" s="30"/>
      <c r="P78" s="30"/>
      <c r="Q78" s="30"/>
      <c r="R78" s="30"/>
      <c r="S78" s="30"/>
      <c r="T78" s="30"/>
      <c r="U78" s="30"/>
      <c r="V78" s="30"/>
      <c r="W78" s="30"/>
      <c r="X78" s="30"/>
      <c r="Y78" s="30"/>
      <c r="Z78" s="30"/>
      <c r="AA78" s="30"/>
      <c r="AB78" s="803"/>
      <c r="AC78" s="801"/>
      <c r="AD78" s="30"/>
      <c r="AE78" s="30"/>
      <c r="AF78" s="30"/>
      <c r="AG78" s="30"/>
      <c r="AH78" s="782"/>
      <c r="AI78" s="778"/>
    </row>
    <row r="79" spans="1:43" x14ac:dyDescent="0.25">
      <c r="A79" s="30"/>
      <c r="B79" s="30"/>
      <c r="C79" s="30"/>
      <c r="D79" s="30"/>
      <c r="E79" s="30"/>
      <c r="F79" s="761" t="s">
        <v>413</v>
      </c>
      <c r="G79" s="30" t="s">
        <v>633</v>
      </c>
      <c r="H79" s="30" t="s">
        <v>483</v>
      </c>
      <c r="I79" s="783"/>
      <c r="J79" s="30" t="s">
        <v>494</v>
      </c>
      <c r="K79" s="30"/>
      <c r="L79" s="30"/>
      <c r="M79" s="30"/>
      <c r="N79" s="30"/>
      <c r="O79" s="30"/>
      <c r="P79" s="30"/>
      <c r="Q79" s="30"/>
      <c r="R79" s="30"/>
      <c r="S79" s="30"/>
      <c r="T79" s="30"/>
      <c r="U79" s="30"/>
      <c r="V79" s="30"/>
      <c r="W79" s="30"/>
      <c r="X79" s="30"/>
      <c r="Y79" s="30"/>
      <c r="Z79" s="30"/>
      <c r="AA79" s="30"/>
      <c r="AB79" s="803"/>
      <c r="AC79" s="801"/>
      <c r="AD79" s="30"/>
      <c r="AE79" s="30"/>
      <c r="AF79" s="30"/>
      <c r="AG79" s="30"/>
    </row>
    <row r="80" spans="1:43" ht="30" x14ac:dyDescent="0.25">
      <c r="A80" s="30"/>
      <c r="B80" s="30"/>
      <c r="C80" s="30"/>
      <c r="D80" s="30"/>
      <c r="E80" s="30"/>
      <c r="F80" s="761" t="s">
        <v>638</v>
      </c>
      <c r="G80" s="30" t="s">
        <v>596</v>
      </c>
      <c r="H80" s="30" t="s">
        <v>483</v>
      </c>
      <c r="I80" s="783"/>
      <c r="J80" s="30" t="s">
        <v>494</v>
      </c>
      <c r="K80" s="30"/>
      <c r="L80" s="30"/>
      <c r="M80" s="30"/>
      <c r="N80" s="30"/>
      <c r="O80" s="30"/>
      <c r="P80" s="30"/>
      <c r="Q80" s="30"/>
      <c r="R80" s="30"/>
      <c r="S80" s="30"/>
      <c r="T80" s="30"/>
      <c r="U80" s="30"/>
      <c r="V80" s="30"/>
      <c r="W80" s="30"/>
      <c r="X80" s="30"/>
      <c r="Y80" s="30"/>
      <c r="Z80" s="30"/>
      <c r="AA80" s="30"/>
      <c r="AB80" s="802" t="s">
        <v>799</v>
      </c>
      <c r="AC80" s="801"/>
      <c r="AD80" s="30"/>
      <c r="AE80" s="30"/>
      <c r="AF80" s="30" t="s">
        <v>1579</v>
      </c>
      <c r="AG80" s="30"/>
    </row>
    <row r="81" spans="1:33" x14ac:dyDescent="0.25">
      <c r="A81" s="30"/>
      <c r="B81" s="30"/>
      <c r="C81" s="30"/>
      <c r="D81" s="30"/>
      <c r="E81" s="30"/>
      <c r="F81" s="761" t="s">
        <v>640</v>
      </c>
      <c r="G81" s="30" t="s">
        <v>633</v>
      </c>
      <c r="H81" s="30" t="s">
        <v>483</v>
      </c>
      <c r="I81" s="783" t="s">
        <v>1353</v>
      </c>
      <c r="J81" s="30" t="s">
        <v>494</v>
      </c>
      <c r="K81" s="30"/>
      <c r="L81" s="30"/>
      <c r="M81" s="30"/>
      <c r="N81" s="30"/>
      <c r="O81" s="30"/>
      <c r="P81" s="30"/>
      <c r="Q81" s="30"/>
      <c r="R81" s="30"/>
      <c r="S81" s="30"/>
      <c r="T81" s="30"/>
      <c r="U81" s="30"/>
      <c r="V81" s="30"/>
      <c r="W81" s="30"/>
      <c r="X81" s="30"/>
      <c r="Y81" s="30"/>
      <c r="Z81" s="30"/>
      <c r="AA81" s="30"/>
      <c r="AB81" s="802" t="s">
        <v>1512</v>
      </c>
      <c r="AC81" s="801"/>
      <c r="AD81" s="30"/>
      <c r="AE81" s="30"/>
      <c r="AF81" s="30" t="s">
        <v>1642</v>
      </c>
      <c r="AG81" s="30"/>
    </row>
    <row r="82" spans="1:33" x14ac:dyDescent="0.25">
      <c r="A82" s="30"/>
      <c r="B82" s="30"/>
      <c r="C82" s="30"/>
      <c r="D82" s="30"/>
      <c r="E82" s="30"/>
      <c r="F82" s="761" t="s">
        <v>416</v>
      </c>
      <c r="G82" s="273" t="s">
        <v>605</v>
      </c>
      <c r="H82" s="30" t="s">
        <v>119</v>
      </c>
      <c r="I82" s="783"/>
      <c r="J82" s="30"/>
      <c r="K82" s="30"/>
      <c r="L82" s="30"/>
      <c r="M82" s="30"/>
      <c r="N82" s="30"/>
      <c r="O82" s="30"/>
      <c r="P82" s="30"/>
      <c r="Q82" s="30"/>
      <c r="R82" s="30"/>
      <c r="S82" s="30"/>
      <c r="T82" s="30"/>
      <c r="U82" s="30"/>
      <c r="V82" s="30"/>
      <c r="W82" s="30"/>
      <c r="X82" s="30"/>
      <c r="Y82" s="30"/>
      <c r="Z82" s="30"/>
      <c r="AA82" s="30"/>
      <c r="AB82" s="803"/>
      <c r="AC82" s="801"/>
      <c r="AD82" s="30"/>
      <c r="AE82" s="30"/>
      <c r="AF82" s="30" t="s">
        <v>1643</v>
      </c>
      <c r="AG82" s="30"/>
    </row>
    <row r="83" spans="1:33" x14ac:dyDescent="0.25">
      <c r="A83" s="30"/>
      <c r="B83" s="30"/>
      <c r="C83" s="30"/>
      <c r="D83" s="30"/>
      <c r="E83" s="30"/>
      <c r="F83" s="761" t="s">
        <v>642</v>
      </c>
      <c r="G83" s="30" t="s">
        <v>485</v>
      </c>
      <c r="H83" s="30" t="s">
        <v>539</v>
      </c>
      <c r="I83" s="783"/>
      <c r="J83" s="30" t="s">
        <v>494</v>
      </c>
      <c r="K83" s="30"/>
      <c r="L83" s="30"/>
      <c r="M83" s="30"/>
      <c r="N83" s="30"/>
      <c r="O83" s="30"/>
      <c r="P83" s="30"/>
      <c r="Q83" s="30"/>
      <c r="R83" s="30"/>
      <c r="S83" s="30"/>
      <c r="T83" s="30"/>
      <c r="U83" s="30"/>
      <c r="V83" s="30"/>
      <c r="W83" s="30"/>
      <c r="X83" s="30"/>
      <c r="Y83" s="30"/>
      <c r="Z83" s="30"/>
      <c r="AA83" s="30"/>
      <c r="AB83" s="803"/>
      <c r="AC83" s="801"/>
      <c r="AD83" s="30"/>
      <c r="AE83" s="30"/>
      <c r="AF83" s="30"/>
      <c r="AG83" s="30"/>
    </row>
    <row r="84" spans="1:33" x14ac:dyDescent="0.25">
      <c r="A84" s="30"/>
      <c r="B84" s="30"/>
      <c r="C84" s="30"/>
      <c r="D84" s="30"/>
      <c r="E84" s="30"/>
      <c r="F84" s="761" t="s">
        <v>1513</v>
      </c>
      <c r="G84" s="30" t="s">
        <v>598</v>
      </c>
      <c r="H84" s="30" t="s">
        <v>557</v>
      </c>
      <c r="I84" s="783"/>
      <c r="J84" s="30" t="s">
        <v>494</v>
      </c>
      <c r="K84" s="30"/>
      <c r="L84" s="30"/>
      <c r="M84" s="30"/>
      <c r="N84" s="30"/>
      <c r="O84" s="30"/>
      <c r="P84" s="30"/>
      <c r="Q84" s="30"/>
      <c r="R84" s="30"/>
      <c r="S84" s="30"/>
      <c r="T84" s="30"/>
      <c r="U84" s="30"/>
      <c r="V84" s="30"/>
      <c r="W84" s="30"/>
      <c r="X84" s="30"/>
      <c r="Y84" s="30"/>
      <c r="Z84" s="30"/>
      <c r="AA84" s="30"/>
      <c r="AB84" s="802" t="s">
        <v>520</v>
      </c>
      <c r="AC84" s="801"/>
      <c r="AD84" s="30"/>
      <c r="AE84" s="30"/>
      <c r="AF84" s="30"/>
      <c r="AG84" s="30"/>
    </row>
    <row r="85" spans="1:33" x14ac:dyDescent="0.25">
      <c r="A85" s="30"/>
      <c r="B85" s="30"/>
      <c r="C85" s="30"/>
      <c r="D85" s="30"/>
      <c r="E85" s="30"/>
      <c r="F85" s="761" t="s">
        <v>419</v>
      </c>
      <c r="G85" s="30" t="s">
        <v>513</v>
      </c>
      <c r="H85" s="30" t="s">
        <v>547</v>
      </c>
      <c r="I85" s="783"/>
      <c r="J85" s="30" t="s">
        <v>494</v>
      </c>
      <c r="K85" s="30"/>
      <c r="L85" s="30"/>
      <c r="M85" s="30"/>
      <c r="N85" s="30"/>
      <c r="O85" s="30"/>
      <c r="P85" s="30"/>
      <c r="Q85" s="30"/>
      <c r="R85" s="30"/>
      <c r="S85" s="30"/>
      <c r="T85" s="30"/>
      <c r="U85" s="30"/>
      <c r="V85" s="30"/>
      <c r="W85" s="30"/>
      <c r="X85" s="30"/>
      <c r="Y85" s="30"/>
      <c r="Z85" s="30"/>
      <c r="AA85" s="30"/>
      <c r="AB85" s="802" t="s">
        <v>1512</v>
      </c>
      <c r="AC85" s="801"/>
      <c r="AD85" s="30"/>
      <c r="AE85" s="30"/>
      <c r="AF85" s="30"/>
      <c r="AG85" s="30"/>
    </row>
    <row r="86" spans="1:33" x14ac:dyDescent="0.25">
      <c r="A86" s="30"/>
      <c r="B86" s="30"/>
      <c r="C86" s="30"/>
      <c r="D86" s="30"/>
      <c r="E86" s="30"/>
      <c r="F86" s="761" t="s">
        <v>644</v>
      </c>
      <c r="G86" s="30" t="s">
        <v>1452</v>
      </c>
      <c r="H86" s="30" t="s">
        <v>541</v>
      </c>
      <c r="I86" s="783" t="s">
        <v>1353</v>
      </c>
      <c r="J86" s="30"/>
      <c r="K86" s="30"/>
      <c r="L86" s="30"/>
      <c r="M86" s="30"/>
      <c r="N86" s="30"/>
      <c r="O86" s="30"/>
      <c r="P86" s="30"/>
      <c r="Q86" s="30"/>
      <c r="R86" s="30"/>
      <c r="S86" s="30"/>
      <c r="T86" s="30"/>
      <c r="U86" s="30"/>
      <c r="V86" s="30"/>
      <c r="W86" s="30"/>
      <c r="X86" s="30"/>
      <c r="Y86" s="30"/>
      <c r="Z86" s="30"/>
      <c r="AA86" s="30"/>
      <c r="AB86" s="803"/>
      <c r="AC86" s="801"/>
      <c r="AD86" s="30"/>
      <c r="AE86" s="30"/>
      <c r="AF86" s="30"/>
      <c r="AG86" s="30"/>
    </row>
    <row r="87" spans="1:33" x14ac:dyDescent="0.25">
      <c r="A87" s="30"/>
      <c r="B87" s="30"/>
      <c r="C87" s="30"/>
      <c r="D87" s="30"/>
      <c r="E87" s="30"/>
      <c r="F87" s="761" t="s">
        <v>645</v>
      </c>
      <c r="G87" s="30" t="s">
        <v>485</v>
      </c>
      <c r="H87" s="30" t="s">
        <v>545</v>
      </c>
      <c r="I87" s="783"/>
      <c r="J87" s="30" t="s">
        <v>494</v>
      </c>
      <c r="K87" s="30"/>
      <c r="L87" s="30"/>
      <c r="M87" s="30"/>
      <c r="N87" s="30"/>
      <c r="O87" s="30"/>
      <c r="P87" s="30"/>
      <c r="Q87" s="30"/>
      <c r="R87" s="30"/>
      <c r="S87" s="30"/>
      <c r="T87" s="30"/>
      <c r="U87" s="30"/>
      <c r="V87" s="30"/>
      <c r="W87" s="30"/>
      <c r="X87" s="30"/>
      <c r="Y87" s="30"/>
      <c r="Z87" s="30"/>
      <c r="AA87" s="30"/>
      <c r="AB87" s="802" t="s">
        <v>527</v>
      </c>
      <c r="AC87" s="801"/>
      <c r="AD87" s="30"/>
      <c r="AE87" s="30"/>
      <c r="AF87" s="30"/>
      <c r="AG87" s="30"/>
    </row>
    <row r="88" spans="1:33" x14ac:dyDescent="0.25">
      <c r="A88" s="30"/>
      <c r="B88" s="30"/>
      <c r="C88" s="30"/>
      <c r="D88" s="30"/>
      <c r="E88" s="30"/>
      <c r="F88" s="761" t="s">
        <v>646</v>
      </c>
      <c r="G88" s="30" t="s">
        <v>485</v>
      </c>
      <c r="H88" s="30" t="s">
        <v>548</v>
      </c>
      <c r="I88" s="783"/>
      <c r="J88" s="30" t="s">
        <v>494</v>
      </c>
      <c r="K88" s="30"/>
      <c r="L88" s="30"/>
      <c r="M88" s="30"/>
      <c r="N88" s="30"/>
      <c r="O88" s="30"/>
      <c r="P88" s="30"/>
      <c r="Q88" s="30"/>
      <c r="R88" s="30"/>
      <c r="S88" s="30"/>
      <c r="T88" s="30"/>
      <c r="U88" s="30"/>
      <c r="V88" s="30"/>
      <c r="W88" s="30"/>
      <c r="X88" s="30"/>
      <c r="Y88" s="30"/>
      <c r="Z88" s="30"/>
      <c r="AA88" s="30"/>
      <c r="AB88" s="802" t="s">
        <v>1512</v>
      </c>
      <c r="AC88" s="801"/>
      <c r="AD88" s="30"/>
      <c r="AE88" s="30"/>
      <c r="AF88" s="30"/>
      <c r="AG88" s="30"/>
    </row>
    <row r="89" spans="1:33" x14ac:dyDescent="0.25">
      <c r="A89" s="30"/>
      <c r="B89" s="30"/>
      <c r="C89" s="30"/>
      <c r="D89" s="30"/>
      <c r="E89" s="30"/>
      <c r="F89" s="761" t="s">
        <v>423</v>
      </c>
      <c r="G89" s="273" t="s">
        <v>605</v>
      </c>
      <c r="H89" s="30" t="s">
        <v>119</v>
      </c>
      <c r="I89" s="783"/>
      <c r="J89" s="30"/>
      <c r="K89" s="30"/>
      <c r="L89" s="30"/>
      <c r="M89" s="30"/>
      <c r="N89" s="30"/>
      <c r="O89" s="30"/>
      <c r="P89" s="30"/>
      <c r="Q89" s="30"/>
      <c r="R89" s="30"/>
      <c r="S89" s="30"/>
      <c r="T89" s="30"/>
      <c r="U89" s="30"/>
      <c r="V89" s="30"/>
      <c r="W89" s="30"/>
      <c r="X89" s="30"/>
      <c r="Y89" s="30"/>
      <c r="Z89" s="30"/>
      <c r="AA89" s="30"/>
      <c r="AB89" s="30"/>
      <c r="AC89" s="30"/>
      <c r="AD89" s="30"/>
      <c r="AE89" s="30"/>
      <c r="AF89" s="30"/>
      <c r="AG89" s="30"/>
    </row>
    <row r="90" spans="1:33" x14ac:dyDescent="0.25">
      <c r="A90" s="30"/>
      <c r="B90" s="30"/>
      <c r="C90" s="30"/>
      <c r="D90" s="30"/>
      <c r="E90" s="30"/>
      <c r="F90" s="761" t="s">
        <v>424</v>
      </c>
      <c r="G90" s="30" t="s">
        <v>600</v>
      </c>
      <c r="H90" s="30" t="s">
        <v>119</v>
      </c>
      <c r="I90" s="783" t="s">
        <v>1353</v>
      </c>
      <c r="J90" s="30"/>
      <c r="K90" s="30"/>
      <c r="L90" s="30"/>
      <c r="M90" s="30"/>
      <c r="N90" s="30"/>
      <c r="O90" s="30"/>
      <c r="P90" s="30"/>
      <c r="Q90" s="30"/>
      <c r="R90" s="30"/>
      <c r="S90" s="30"/>
      <c r="T90" s="30"/>
      <c r="U90" s="30"/>
      <c r="V90" s="30"/>
      <c r="W90" s="30"/>
      <c r="X90" s="30"/>
      <c r="Y90" s="30"/>
      <c r="Z90" s="30"/>
      <c r="AA90" s="30"/>
      <c r="AB90" s="30"/>
      <c r="AC90" s="30"/>
      <c r="AD90" s="30"/>
      <c r="AE90" s="30"/>
      <c r="AF90" s="30"/>
      <c r="AG90" s="30"/>
    </row>
    <row r="91" spans="1:33" x14ac:dyDescent="0.25">
      <c r="A91" s="30"/>
      <c r="B91" s="30"/>
      <c r="C91" s="30"/>
      <c r="D91" s="30"/>
      <c r="E91" s="30"/>
      <c r="F91" s="761" t="s">
        <v>425</v>
      </c>
      <c r="G91" s="273" t="s">
        <v>605</v>
      </c>
      <c r="H91" s="30" t="s">
        <v>119</v>
      </c>
      <c r="I91" s="783"/>
      <c r="J91" s="30"/>
      <c r="K91" s="30"/>
      <c r="L91" s="30"/>
      <c r="M91" s="30"/>
      <c r="N91" s="30"/>
      <c r="O91" s="30"/>
      <c r="P91" s="30"/>
      <c r="Q91" s="30"/>
      <c r="R91" s="30"/>
      <c r="S91" s="30"/>
      <c r="T91" s="30"/>
      <c r="U91" s="30"/>
      <c r="V91" s="30"/>
      <c r="W91" s="30"/>
      <c r="X91" s="30"/>
      <c r="Y91" s="30"/>
      <c r="Z91" s="30"/>
      <c r="AA91" s="30"/>
      <c r="AB91" s="30"/>
      <c r="AC91" s="30"/>
      <c r="AD91" s="30"/>
      <c r="AE91" s="30"/>
      <c r="AF91" s="30"/>
      <c r="AG91" s="30"/>
    </row>
    <row r="92" spans="1:33" x14ac:dyDescent="0.25">
      <c r="A92" s="30"/>
      <c r="B92" s="30"/>
      <c r="C92" s="30"/>
      <c r="D92" s="30"/>
      <c r="E92" s="30"/>
      <c r="F92" s="761" t="s">
        <v>426</v>
      </c>
      <c r="G92" s="30" t="s">
        <v>628</v>
      </c>
      <c r="H92" s="30" t="s">
        <v>119</v>
      </c>
      <c r="I92" s="783" t="s">
        <v>1353</v>
      </c>
      <c r="J92" s="30"/>
      <c r="K92" s="30"/>
      <c r="L92" s="30"/>
      <c r="M92" s="30"/>
      <c r="N92" s="30"/>
      <c r="O92" s="30"/>
      <c r="P92" s="30"/>
      <c r="Q92" s="30"/>
      <c r="R92" s="30"/>
      <c r="S92" s="30"/>
      <c r="T92" s="30"/>
      <c r="U92" s="30"/>
      <c r="V92" s="30"/>
      <c r="W92" s="30"/>
      <c r="X92" s="30"/>
      <c r="Y92" s="30"/>
      <c r="Z92" s="30"/>
      <c r="AA92" s="30"/>
      <c r="AB92" s="30"/>
      <c r="AC92" s="30"/>
      <c r="AD92" s="30"/>
      <c r="AE92" s="30"/>
      <c r="AF92" s="30"/>
      <c r="AG92" s="30"/>
    </row>
    <row r="93" spans="1:33" x14ac:dyDescent="0.25">
      <c r="A93" s="30"/>
      <c r="B93" s="30"/>
      <c r="C93" s="30"/>
      <c r="D93" s="30"/>
      <c r="E93" s="30"/>
      <c r="F93" s="761" t="s">
        <v>427</v>
      </c>
      <c r="G93" s="273" t="s">
        <v>605</v>
      </c>
      <c r="H93" s="30" t="s">
        <v>119</v>
      </c>
      <c r="I93" s="783" t="s">
        <v>1353</v>
      </c>
      <c r="J93" s="30"/>
      <c r="K93" s="30"/>
      <c r="L93" s="30"/>
      <c r="M93" s="30"/>
      <c r="N93" s="30"/>
      <c r="O93" s="30"/>
      <c r="P93" s="30"/>
      <c r="Q93" s="30"/>
      <c r="R93" s="30"/>
      <c r="S93" s="30"/>
      <c r="T93" s="30"/>
      <c r="U93" s="30"/>
      <c r="V93" s="30"/>
      <c r="W93" s="30"/>
      <c r="X93" s="30"/>
      <c r="Y93" s="30"/>
      <c r="Z93" s="30"/>
      <c r="AA93" s="30"/>
      <c r="AB93" s="30"/>
      <c r="AC93" s="30"/>
      <c r="AD93" s="30"/>
      <c r="AE93" s="30"/>
      <c r="AF93" s="30"/>
      <c r="AG93" s="30"/>
    </row>
    <row r="94" spans="1:33" x14ac:dyDescent="0.25">
      <c r="A94" s="30"/>
      <c r="B94" s="30"/>
      <c r="C94" s="30"/>
      <c r="D94" s="30"/>
      <c r="E94" s="30"/>
      <c r="F94" s="761" t="s">
        <v>428</v>
      </c>
      <c r="G94" s="30" t="s">
        <v>600</v>
      </c>
      <c r="H94" s="30" t="s">
        <v>119</v>
      </c>
      <c r="I94" s="783" t="s">
        <v>1353</v>
      </c>
      <c r="J94" s="30"/>
      <c r="K94" s="30"/>
      <c r="L94" s="30"/>
      <c r="M94" s="30"/>
      <c r="N94" s="30"/>
      <c r="O94" s="30"/>
      <c r="P94" s="30"/>
      <c r="Q94" s="30"/>
      <c r="R94" s="30"/>
      <c r="S94" s="30"/>
      <c r="T94" s="30"/>
      <c r="U94" s="30"/>
      <c r="V94" s="30"/>
      <c r="W94" s="30"/>
      <c r="X94" s="30"/>
      <c r="Y94" s="30"/>
      <c r="Z94" s="30"/>
      <c r="AA94" s="30"/>
      <c r="AB94" s="30"/>
      <c r="AC94" s="30"/>
      <c r="AD94" s="30"/>
      <c r="AE94" s="30"/>
      <c r="AF94" s="30"/>
      <c r="AG94" s="30"/>
    </row>
    <row r="95" spans="1:33" x14ac:dyDescent="0.25">
      <c r="A95" s="30"/>
      <c r="B95" s="30"/>
      <c r="C95" s="30"/>
      <c r="D95" s="30"/>
      <c r="E95" s="30"/>
      <c r="F95" s="761" t="s">
        <v>429</v>
      </c>
      <c r="G95" s="273" t="s">
        <v>605</v>
      </c>
      <c r="H95" s="30" t="s">
        <v>119</v>
      </c>
      <c r="I95" s="783" t="s">
        <v>1353</v>
      </c>
      <c r="J95" s="30"/>
      <c r="K95" s="30"/>
      <c r="L95" s="30"/>
      <c r="M95" s="30"/>
      <c r="N95" s="30"/>
      <c r="O95" s="30"/>
      <c r="P95" s="30"/>
      <c r="Q95" s="30"/>
      <c r="R95" s="30"/>
      <c r="S95" s="30"/>
      <c r="T95" s="30"/>
      <c r="U95" s="30"/>
      <c r="V95" s="30"/>
      <c r="W95" s="30"/>
      <c r="X95" s="30"/>
      <c r="Y95" s="30"/>
      <c r="Z95" s="30"/>
      <c r="AA95" s="30"/>
      <c r="AB95" s="30"/>
      <c r="AC95" s="30"/>
      <c r="AD95" s="30"/>
      <c r="AE95" s="30"/>
      <c r="AF95" s="30"/>
      <c r="AG95" s="30"/>
    </row>
    <row r="96" spans="1:33" x14ac:dyDescent="0.25">
      <c r="A96" s="30"/>
      <c r="B96" s="30"/>
      <c r="C96" s="30"/>
      <c r="D96" s="30"/>
      <c r="E96" s="30"/>
      <c r="F96" s="761" t="s">
        <v>430</v>
      </c>
      <c r="G96" s="30" t="s">
        <v>600</v>
      </c>
      <c r="H96" s="30" t="s">
        <v>119</v>
      </c>
      <c r="I96" s="783" t="s">
        <v>1353</v>
      </c>
      <c r="J96" s="30"/>
      <c r="K96" s="30"/>
      <c r="L96" s="30"/>
      <c r="M96" s="30"/>
      <c r="N96" s="30"/>
      <c r="O96" s="30"/>
      <c r="P96" s="30"/>
      <c r="Q96" s="30"/>
      <c r="R96" s="30"/>
      <c r="S96" s="30"/>
      <c r="T96" s="30"/>
      <c r="U96" s="30"/>
      <c r="V96" s="30"/>
      <c r="W96" s="30"/>
      <c r="X96" s="30"/>
      <c r="Y96" s="30"/>
      <c r="Z96" s="30"/>
      <c r="AA96" s="30"/>
      <c r="AB96" s="30"/>
      <c r="AC96" s="30"/>
      <c r="AD96" s="30"/>
      <c r="AE96" s="30"/>
      <c r="AF96" s="30"/>
      <c r="AG96" s="30"/>
    </row>
    <row r="97" spans="1:33" x14ac:dyDescent="0.25">
      <c r="A97" s="30"/>
      <c r="B97" s="30"/>
      <c r="C97" s="30"/>
      <c r="D97" s="30"/>
      <c r="E97" s="30"/>
      <c r="F97" s="761" t="s">
        <v>431</v>
      </c>
      <c r="G97" s="30" t="s">
        <v>600</v>
      </c>
      <c r="H97" s="30" t="s">
        <v>119</v>
      </c>
      <c r="I97" s="783" t="s">
        <v>1353</v>
      </c>
      <c r="J97" s="30"/>
      <c r="K97" s="30"/>
      <c r="L97" s="30"/>
      <c r="M97" s="30"/>
      <c r="N97" s="30"/>
      <c r="O97" s="30"/>
      <c r="P97" s="30"/>
      <c r="Q97" s="30"/>
      <c r="R97" s="30"/>
      <c r="S97" s="30"/>
      <c r="T97" s="30"/>
      <c r="U97" s="30"/>
      <c r="V97" s="30"/>
      <c r="W97" s="30"/>
      <c r="X97" s="30"/>
      <c r="Y97" s="30"/>
      <c r="Z97" s="30"/>
      <c r="AA97" s="30"/>
      <c r="AB97" s="30"/>
      <c r="AC97" s="30"/>
      <c r="AD97" s="30"/>
      <c r="AE97" s="30"/>
      <c r="AF97" s="30"/>
      <c r="AG97" s="30"/>
    </row>
    <row r="98" spans="1:33" x14ac:dyDescent="0.25">
      <c r="A98" s="30"/>
      <c r="B98" s="30"/>
      <c r="C98" s="30"/>
      <c r="D98" s="30"/>
      <c r="E98" s="30"/>
      <c r="F98" s="761" t="s">
        <v>432</v>
      </c>
      <c r="G98" s="30" t="s">
        <v>600</v>
      </c>
      <c r="H98" s="30" t="s">
        <v>119</v>
      </c>
      <c r="I98" s="783" t="s">
        <v>1353</v>
      </c>
      <c r="J98" s="30"/>
      <c r="K98" s="30"/>
      <c r="L98" s="30"/>
      <c r="M98" s="30"/>
      <c r="N98" s="30"/>
      <c r="O98" s="30"/>
      <c r="P98" s="30"/>
      <c r="Q98" s="30"/>
      <c r="R98" s="30"/>
      <c r="S98" s="30"/>
      <c r="T98" s="30"/>
      <c r="U98" s="30"/>
      <c r="V98" s="30"/>
      <c r="W98" s="30"/>
      <c r="X98" s="30"/>
      <c r="Y98" s="30"/>
      <c r="Z98" s="30"/>
      <c r="AA98" s="30"/>
      <c r="AB98" s="30"/>
      <c r="AC98" s="30"/>
      <c r="AD98" s="30"/>
      <c r="AE98" s="30"/>
      <c r="AF98" s="30"/>
      <c r="AG98" s="30"/>
    </row>
    <row r="99" spans="1:33" x14ac:dyDescent="0.25">
      <c r="A99" s="30"/>
      <c r="B99" s="30"/>
      <c r="C99" s="30"/>
      <c r="D99" s="30"/>
      <c r="E99" s="30"/>
      <c r="F99" s="761" t="s">
        <v>647</v>
      </c>
      <c r="G99" s="30" t="s">
        <v>485</v>
      </c>
      <c r="H99" s="30" t="s">
        <v>551</v>
      </c>
      <c r="I99" s="783"/>
      <c r="J99" s="30" t="s">
        <v>494</v>
      </c>
      <c r="K99" s="30"/>
      <c r="L99" s="30"/>
      <c r="M99" s="30"/>
      <c r="N99" s="30"/>
      <c r="O99" s="30"/>
      <c r="P99" s="30"/>
      <c r="Q99" s="30"/>
      <c r="R99" s="30"/>
      <c r="S99" s="30"/>
      <c r="T99" s="30"/>
      <c r="U99" s="30"/>
      <c r="V99" s="30"/>
      <c r="W99" s="30"/>
      <c r="X99" s="30"/>
      <c r="Y99" s="30"/>
      <c r="Z99" s="30"/>
      <c r="AA99" s="30"/>
      <c r="AB99" s="30"/>
      <c r="AC99" s="30"/>
      <c r="AD99" s="30"/>
      <c r="AE99" s="30"/>
      <c r="AF99" s="30"/>
      <c r="AG99" s="30"/>
    </row>
    <row r="100" spans="1:33" x14ac:dyDescent="0.25">
      <c r="A100" s="30"/>
      <c r="B100" s="30"/>
      <c r="C100" s="30"/>
      <c r="D100" s="30"/>
      <c r="E100" s="30"/>
      <c r="F100" s="761" t="s">
        <v>648</v>
      </c>
      <c r="G100" s="30" t="s">
        <v>485</v>
      </c>
      <c r="H100" s="30" t="s">
        <v>553</v>
      </c>
      <c r="I100" s="783"/>
      <c r="J100" s="30" t="s">
        <v>494</v>
      </c>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row>
    <row r="101" spans="1:33" x14ac:dyDescent="0.25">
      <c r="A101" s="30"/>
      <c r="B101" s="30" t="s">
        <v>649</v>
      </c>
      <c r="C101" s="30"/>
      <c r="D101" s="30"/>
      <c r="E101" s="30"/>
      <c r="F101" s="761"/>
      <c r="G101" s="30"/>
      <c r="H101" s="30"/>
      <c r="I101" s="783"/>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row>
    <row r="102" spans="1:33" x14ac:dyDescent="0.25">
      <c r="A102" s="30"/>
      <c r="B102" s="30" t="s">
        <v>487</v>
      </c>
      <c r="C102" s="30"/>
      <c r="D102" s="30"/>
      <c r="E102" s="30"/>
      <c r="F102" s="761"/>
      <c r="G102" s="30"/>
      <c r="H102" s="30"/>
      <c r="I102" s="783"/>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row>
    <row r="103" spans="1:33" x14ac:dyDescent="0.25">
      <c r="A103" s="30"/>
      <c r="B103" s="30" t="s">
        <v>505</v>
      </c>
      <c r="C103" s="30"/>
      <c r="D103" s="30"/>
      <c r="E103" s="30"/>
      <c r="F103" s="761"/>
      <c r="G103" s="30"/>
      <c r="H103" s="30"/>
      <c r="I103" s="783"/>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row>
    <row r="104" spans="1:33" x14ac:dyDescent="0.25">
      <c r="A104" s="30"/>
      <c r="B104" s="30"/>
      <c r="C104" s="30"/>
      <c r="D104" s="30"/>
      <c r="E104" s="30"/>
      <c r="F104" s="761"/>
      <c r="G104" s="30"/>
      <c r="H104" s="30"/>
      <c r="I104" s="783"/>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row>
  </sheetData>
  <mergeCells count="6">
    <mergeCell ref="AB66:AC66"/>
    <mergeCell ref="AB2:AB3"/>
    <mergeCell ref="AC2:AD2"/>
    <mergeCell ref="AH2:AN2"/>
    <mergeCell ref="AO2:AT2"/>
    <mergeCell ref="AC7:AD7"/>
  </mergeCell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9"/>
  <sheetViews>
    <sheetView tabSelected="1" zoomScale="55" zoomScaleNormal="55" workbookViewId="0">
      <selection activeCell="F21" sqref="F21:F22"/>
    </sheetView>
  </sheetViews>
  <sheetFormatPr baseColWidth="10" defaultColWidth="11.42578125" defaultRowHeight="21" x14ac:dyDescent="0.35"/>
  <cols>
    <col min="1" max="1" width="4" style="1603" customWidth="1"/>
    <col min="2" max="2" width="20.140625" style="302" hidden="1" customWidth="1"/>
    <col min="3" max="3" width="35.5703125" style="302" customWidth="1"/>
    <col min="4" max="4" width="23.28515625" style="302" customWidth="1"/>
    <col min="5" max="5" width="23.7109375" style="302" customWidth="1"/>
    <col min="6" max="6" width="82.28515625" style="302" customWidth="1"/>
    <col min="7" max="7" width="48.28515625" style="302" customWidth="1"/>
    <col min="8" max="8" width="30" style="302" customWidth="1"/>
    <col min="9" max="9" width="22.85546875" style="302" customWidth="1"/>
    <col min="10" max="10" width="23.42578125" style="302" customWidth="1"/>
    <col min="11" max="11" width="26.28515625" style="302" customWidth="1"/>
    <col min="12" max="12" width="44.28515625" style="302" customWidth="1"/>
    <col min="13" max="13" width="8" style="302" customWidth="1"/>
    <col min="14" max="14" width="118.85546875" style="1613" hidden="1" customWidth="1"/>
    <col min="15" max="15" width="42.42578125" style="1613" hidden="1" customWidth="1"/>
    <col min="16" max="16" width="16.5703125" style="1613" hidden="1" customWidth="1"/>
    <col min="17" max="17" width="15" style="1613" hidden="1" customWidth="1"/>
    <col min="18" max="18" width="22.7109375" style="1613" hidden="1" customWidth="1"/>
    <col min="19" max="19" width="19" style="1613" hidden="1" customWidth="1"/>
    <col min="20" max="20" width="15.7109375" style="1613" hidden="1" customWidth="1"/>
    <col min="21" max="21" width="18.5703125" style="1613" hidden="1" customWidth="1"/>
    <col min="22" max="22" width="20.42578125" style="1613" hidden="1" customWidth="1"/>
    <col min="23" max="23" width="23.28515625" style="1613" hidden="1" customWidth="1"/>
    <col min="24" max="24" width="19.140625" style="1613" hidden="1" customWidth="1"/>
    <col min="25" max="25" width="36.7109375" style="302" customWidth="1"/>
    <col min="26" max="26" width="14.140625" style="302" customWidth="1"/>
    <col min="27" max="27" width="15.42578125" style="302" customWidth="1"/>
    <col min="28" max="28" width="13.7109375" style="302" customWidth="1"/>
    <col min="29" max="29" width="13.28515625" style="302" customWidth="1"/>
    <col min="30" max="16384" width="11.42578125" style="302"/>
  </cols>
  <sheetData>
    <row r="1" spans="2:24" ht="54" customHeight="1" x14ac:dyDescent="0.35">
      <c r="B1" s="1752"/>
      <c r="C1" s="1752"/>
      <c r="D1" s="1700" t="s">
        <v>1514</v>
      </c>
      <c r="E1" s="1701"/>
      <c r="F1" s="1701"/>
      <c r="G1" s="1701"/>
      <c r="H1" s="1701"/>
      <c r="I1" s="1701"/>
      <c r="J1" s="1701"/>
      <c r="K1" s="1701"/>
      <c r="L1" s="1094" t="s">
        <v>1690</v>
      </c>
    </row>
    <row r="2" spans="2:24" ht="27" customHeight="1" thickBot="1" x14ac:dyDescent="0.4">
      <c r="B2" s="1753"/>
      <c r="C2" s="1754"/>
      <c r="D2" s="1702"/>
      <c r="E2" s="1703"/>
      <c r="F2" s="1703"/>
      <c r="G2" s="1703"/>
      <c r="H2" s="1703"/>
      <c r="I2" s="1703"/>
      <c r="J2" s="1703"/>
      <c r="K2" s="1703"/>
      <c r="L2" s="312" t="s">
        <v>1936</v>
      </c>
    </row>
    <row r="3" spans="2:24" ht="42" customHeight="1" x14ac:dyDescent="0.35">
      <c r="B3" s="1755" t="s">
        <v>1515</v>
      </c>
      <c r="C3" s="1755"/>
      <c r="D3" s="1755"/>
      <c r="E3" s="1755"/>
      <c r="F3" s="1755"/>
      <c r="G3" s="1755"/>
      <c r="H3" s="1755"/>
      <c r="I3" s="1755"/>
      <c r="J3" s="1755"/>
      <c r="K3" s="1755"/>
      <c r="L3" s="1755"/>
    </row>
    <row r="4" spans="2:24" s="1236" customFormat="1" ht="32.25" customHeight="1" x14ac:dyDescent="0.35">
      <c r="C4" s="1543" t="s">
        <v>0</v>
      </c>
      <c r="D4" s="1756" t="str">
        <f>_xlfn.IFNA(VLOOKUP(D5,LISTAS!F3:H101,3,),"")</f>
        <v xml:space="preserve">150000 - DIRECCIÓN SECTOR HACIENDA </v>
      </c>
      <c r="E4" s="1756"/>
      <c r="F4" s="1756"/>
      <c r="G4" s="1756"/>
      <c r="H4" s="1756"/>
      <c r="I4" s="606"/>
      <c r="J4" s="606"/>
      <c r="K4" s="606"/>
      <c r="L4" s="606"/>
      <c r="N4" s="1613"/>
      <c r="O4" s="1613"/>
      <c r="P4" s="1613"/>
      <c r="Q4" s="1613"/>
      <c r="R4" s="1613"/>
      <c r="S4" s="1613"/>
      <c r="T4" s="1613"/>
      <c r="U4" s="1613"/>
      <c r="V4" s="1613"/>
      <c r="W4" s="1613"/>
      <c r="X4" s="1613"/>
    </row>
    <row r="5" spans="2:24" s="1236" customFormat="1" ht="39.75" customHeight="1" x14ac:dyDescent="0.35">
      <c r="C5" s="1544" t="s">
        <v>1188</v>
      </c>
      <c r="D5" s="1757" t="s">
        <v>603</v>
      </c>
      <c r="E5" s="1758"/>
      <c r="F5" s="1758"/>
      <c r="G5" s="1758"/>
      <c r="H5" s="1758"/>
      <c r="J5" s="1543" t="s">
        <v>2</v>
      </c>
      <c r="K5" s="1224">
        <v>2024</v>
      </c>
      <c r="N5" s="1613"/>
      <c r="O5" s="1613"/>
      <c r="P5" s="1613"/>
      <c r="Q5" s="1613"/>
      <c r="R5" s="1613"/>
      <c r="S5" s="1613"/>
      <c r="T5" s="1613"/>
      <c r="U5" s="1613"/>
      <c r="V5" s="1613"/>
      <c r="W5" s="1613"/>
      <c r="X5" s="1613"/>
    </row>
    <row r="6" spans="2:24" s="1236" customFormat="1" ht="19.899999999999999" customHeight="1" x14ac:dyDescent="0.35">
      <c r="C6" s="1543" t="s">
        <v>1683</v>
      </c>
      <c r="D6" s="1758">
        <v>2025</v>
      </c>
      <c r="E6" s="1758"/>
      <c r="F6" s="1758"/>
      <c r="G6" s="308"/>
      <c r="H6" s="1237"/>
      <c r="J6" s="1543" t="s">
        <v>3</v>
      </c>
      <c r="K6" s="1223">
        <v>87</v>
      </c>
      <c r="L6" s="718"/>
      <c r="M6" s="1238"/>
      <c r="N6" s="1613"/>
      <c r="O6" s="1613"/>
      <c r="P6" s="1613"/>
      <c r="Q6" s="1613"/>
      <c r="R6" s="1613"/>
      <c r="S6" s="1613"/>
      <c r="T6" s="1613"/>
      <c r="U6" s="1613"/>
      <c r="V6" s="1613"/>
      <c r="W6" s="1613"/>
      <c r="X6" s="1613"/>
    </row>
    <row r="7" spans="2:24" s="1236" customFormat="1" ht="27" customHeight="1" x14ac:dyDescent="0.35">
      <c r="C7" s="1543" t="s">
        <v>4</v>
      </c>
      <c r="D7" s="1759">
        <v>45693</v>
      </c>
      <c r="E7" s="1759"/>
      <c r="F7" s="1759"/>
      <c r="G7" s="1759"/>
      <c r="H7" s="1759"/>
      <c r="J7" s="1604" t="s">
        <v>1189</v>
      </c>
      <c r="K7" s="1225">
        <v>45693</v>
      </c>
      <c r="L7" s="1107"/>
      <c r="M7" s="1238"/>
      <c r="N7" s="1613"/>
      <c r="O7" s="1613"/>
      <c r="P7" s="1613"/>
      <c r="Q7" s="1613"/>
      <c r="R7" s="1613"/>
      <c r="S7" s="1613"/>
      <c r="T7" s="1613"/>
      <c r="U7" s="1613"/>
      <c r="V7" s="1613"/>
      <c r="W7" s="1613"/>
      <c r="X7" s="1613"/>
    </row>
    <row r="8" spans="2:24" ht="26.25" customHeight="1" thickBot="1" x14ac:dyDescent="0.4">
      <c r="B8" s="1104"/>
      <c r="C8" s="1105"/>
      <c r="D8" s="1105"/>
      <c r="E8" s="1105"/>
      <c r="F8" s="1105"/>
      <c r="G8" s="1105"/>
      <c r="H8" s="1105"/>
      <c r="I8" s="1105"/>
      <c r="J8" s="1105"/>
      <c r="K8" s="1106"/>
      <c r="L8" s="1106"/>
    </row>
    <row r="9" spans="2:24" ht="26.25" customHeight="1" x14ac:dyDescent="0.35">
      <c r="B9" s="1760" t="s">
        <v>478</v>
      </c>
      <c r="C9" s="1761" t="s">
        <v>478</v>
      </c>
      <c r="D9" s="1764" t="s">
        <v>1516</v>
      </c>
      <c r="E9" s="1765" t="s">
        <v>521</v>
      </c>
      <c r="F9" s="1764"/>
      <c r="G9" s="1768" t="s">
        <v>1517</v>
      </c>
      <c r="H9" s="1769" t="s">
        <v>1518</v>
      </c>
      <c r="I9" s="1769"/>
      <c r="J9" s="1770"/>
      <c r="K9" s="1761" t="s">
        <v>1708</v>
      </c>
      <c r="L9" s="1745" t="s">
        <v>1733</v>
      </c>
    </row>
    <row r="10" spans="2:24" ht="26.25" customHeight="1" x14ac:dyDescent="0.35">
      <c r="B10" s="1760"/>
      <c r="C10" s="1762"/>
      <c r="D10" s="1764"/>
      <c r="E10" s="1765"/>
      <c r="F10" s="1764"/>
      <c r="G10" s="1768"/>
      <c r="H10" s="809" t="s">
        <v>193</v>
      </c>
      <c r="I10" s="809" t="s">
        <v>195</v>
      </c>
      <c r="J10" s="1132" t="s">
        <v>1519</v>
      </c>
      <c r="K10" s="1762"/>
      <c r="L10" s="1746"/>
      <c r="N10" s="909" t="s">
        <v>1919</v>
      </c>
    </row>
    <row r="11" spans="2:24" ht="45" customHeight="1" thickBot="1" x14ac:dyDescent="0.4">
      <c r="B11" s="1760"/>
      <c r="C11" s="1763"/>
      <c r="D11" s="1764"/>
      <c r="E11" s="1766"/>
      <c r="F11" s="1767"/>
      <c r="G11" s="1768"/>
      <c r="H11" s="810">
        <v>0.33333332999999998</v>
      </c>
      <c r="I11" s="811">
        <v>0.33333333329999998</v>
      </c>
      <c r="J11" s="1133">
        <v>0.33333333329999998</v>
      </c>
      <c r="K11" s="1763"/>
      <c r="L11" s="1747"/>
      <c r="N11" s="1614" t="s">
        <v>1916</v>
      </c>
      <c r="O11" s="1614" t="s">
        <v>703</v>
      </c>
      <c r="P11" s="1614" t="s">
        <v>1920</v>
      </c>
      <c r="Q11" s="1614" t="s">
        <v>1914</v>
      </c>
      <c r="R11" s="1614" t="s">
        <v>1923</v>
      </c>
      <c r="S11" s="1614" t="s">
        <v>1924</v>
      </c>
      <c r="T11" s="1614" t="s">
        <v>1915</v>
      </c>
      <c r="U11" s="1614" t="s">
        <v>1925</v>
      </c>
      <c r="V11" s="1614" t="s">
        <v>1917</v>
      </c>
      <c r="W11" s="1615" t="s">
        <v>1918</v>
      </c>
      <c r="X11" s="1614" t="s">
        <v>1921</v>
      </c>
    </row>
    <row r="12" spans="2:24" ht="35.450000000000003" customHeight="1" x14ac:dyDescent="0.35">
      <c r="B12" s="1799" t="s">
        <v>495</v>
      </c>
      <c r="C12" s="1802" t="s">
        <v>495</v>
      </c>
      <c r="D12" s="1723">
        <f>IF(VLOOKUP($D$5,TablaSujetos215[],3,FALSE)="MIXTA&lt;50",VLOOKUP(B12,TablaMacroprocesos43817[],4,FALSE),IF(VLOOKUP($D$5,TablaSujetos215[],3,FALSE)="MIXTA&gt;50",VLOOKUP(B12,TablaMacroprocesos43817[],3,FALSE),IF(VLOOKUP($D$5,TablaSujetos215[],3,FALSE)="CORPORACION",VLOOKUP(B12,TablaMacroprocesos43817[],5,FALSE),IF(VLOOKUP($D$5,TablaSujetos215[],1,FALSE)="100 - Concejo de Bogotá D.C.",0.55,VLOOKUP(B12,TablaMacroprocesos43817[],2,FALSE)))))</f>
        <v>0.35</v>
      </c>
      <c r="E12" s="1818" t="str">
        <f>IF(D5="206 - Fondo de Prestaciones Económicas, Cesantías y Pensiones – FONCEP ","ESTADOS FINANCIEROS FONCEP",IF(D5="262 - Empresa de Transporte del Tercer Milenio - Transmilenio S.A. ","ESTADOS FINANCIEROS Transmilenio S.A.","ESTADOS FINANCIEROS"))</f>
        <v>ESTADOS FINANCIEROS FONCEP</v>
      </c>
      <c r="F12" s="1819"/>
      <c r="G12" s="1796">
        <f>IF(VLOOKUP($D$5,TablaSujetos215[],3,FALSE)="PUBLICA con ing",VLOOKUP(E12,TablaProcesos516[],2,FALSE),IF(VLOOKUP($D$5,TablaSujetos215[],3,FALSE)="PUBLICA con ing&gt;50",VLOOKUP(E12,TablaProcesos516[],3,FALSE),IF(VLOOKUP($D$5,TablaSujetos215[],3,FALSE)="PUBLICA",VLOOKUP(E12,TablaProcesos516[],4,FALSE),IF(VLOOKUP($D$5,TablaSujetos215[],3,FALSE)="MIXTA&gt;50 sin ing",VLOOKUP(E12,TablaProcesos516[],5,FALSE),IF(VLOOKUP($D$5,TablaSujetos215[],3,FALSE)="MIXTA&gt;50",VLOOKUP(E12,TablaProcesos516[],6,FALSE),IF(VLOOKUP($D$5,TablaSujetos215[],3,FALSE)="MIXTA&lt;50",VLOOKUP(E12,TablaProcesos516[],7,FALSE),IF(VLOOKUP($D$5,TablaSujetos215[],3,FALSE)="CORPORACION",VLOOKUP(E12,TablaProcesos516[],8,FALSE),IF(G16="NO APLICA",1,VLOOKUP(E12,TablaProcesos516[],9,FALSE)))))))))</f>
        <v>0.12607627702312124</v>
      </c>
      <c r="H12" s="1822">
        <f>IF(D5="206 - Fondo de Prestaciones Económicas, Cesantías y Pensiones – FONCEP",'HALLAZGOS OPINIÓN_FIN'!H163,IF(D5="262 - Empresa de Transporte del Tercer Milenio - Transmilenio S.A. ",'HALLAZGOS OPINIÓN_FIN'!H163,'HALLAZGOS OPINIÓN_FIN'!H163))</f>
        <v>1</v>
      </c>
      <c r="I12" s="1771"/>
      <c r="J12" s="1773"/>
      <c r="K12" s="1832">
        <f>IFERROR(IF(D12="No Aplica","No Aplica",IF(G12="No Aplica","No Aplica",(G12*H12))),"")</f>
        <v>0.12607627702312124</v>
      </c>
      <c r="L12" s="1108" t="str">
        <f>IF(D5="206 - Fondo de Prestaciones Económicas, Cesantías y Pensiones – FONCEP ","OPINION ESTADOS FINANCIEROS FONCEP",IF(D5="262 - Empresa de Transporte del Tercer Milenio - Transmilenio S.A. ","OPINION ESTADOS FINANCIEROS Transmilenio S.A.","OPINION ESTADOS FINANCIEROS"))</f>
        <v>OPINION ESTADOS FINANCIEROS FONCEP</v>
      </c>
      <c r="N12" s="1638" t="s">
        <v>1930</v>
      </c>
      <c r="O12" s="1616">
        <f>+'HALLAZGOS OPINIÓN_FIN'!B12</f>
        <v>1592844995323</v>
      </c>
      <c r="P12" s="1824">
        <v>0.35</v>
      </c>
      <c r="Q12" s="1824">
        <v>0.6</v>
      </c>
      <c r="R12" s="1617">
        <f>+$O$12/$O$14</f>
        <v>0.21012712837186875</v>
      </c>
      <c r="S12" s="1618">
        <f>+R12</f>
        <v>0.21012712837186875</v>
      </c>
      <c r="T12" s="1617">
        <f>+'HALLAZGOS OPINIÓN_FIN'!H163</f>
        <v>1</v>
      </c>
      <c r="U12" s="1618">
        <f>+T12</f>
        <v>1</v>
      </c>
      <c r="V12" s="1618">
        <f>+U12</f>
        <v>1</v>
      </c>
      <c r="W12" s="1619">
        <f>+R12*Q12</f>
        <v>0.12607627702312124</v>
      </c>
      <c r="X12" s="1620">
        <f>+W12*P12</f>
        <v>4.4126696958092432E-2</v>
      </c>
    </row>
    <row r="13" spans="2:24" ht="24.75" customHeight="1" thickBot="1" x14ac:dyDescent="0.4">
      <c r="B13" s="1800"/>
      <c r="C13" s="1803"/>
      <c r="D13" s="1724"/>
      <c r="E13" s="1820"/>
      <c r="F13" s="1821"/>
      <c r="G13" s="1780"/>
      <c r="H13" s="1823"/>
      <c r="I13" s="1772"/>
      <c r="J13" s="1774"/>
      <c r="K13" s="1833"/>
      <c r="L13" s="1239" t="str">
        <f>IF(H12=100%,"Limpia o Sin Salvedades",IF(H12&gt;=75%,"Con Salvedades",IF(H12=0%,"Negativa","Abstención")))</f>
        <v>Limpia o Sin Salvedades</v>
      </c>
      <c r="M13" s="812"/>
      <c r="N13" s="1694" t="s">
        <v>1932</v>
      </c>
      <c r="O13" s="1616">
        <f>+'HALLAZGOS OPINIÓN_FIN Otros'!B12</f>
        <v>5987542209627</v>
      </c>
      <c r="P13" s="1825"/>
      <c r="Q13" s="1825"/>
      <c r="R13" s="1617">
        <f>+$O$13/$O$14</f>
        <v>0.78987287162813125</v>
      </c>
      <c r="S13" s="1618">
        <f>+R13</f>
        <v>0.78987287162813125</v>
      </c>
      <c r="T13" s="1617">
        <f>+'HALLAZGOS OPINIÓN_FIN Otros'!H163</f>
        <v>0</v>
      </c>
      <c r="U13" s="1618">
        <f>+T13</f>
        <v>0</v>
      </c>
      <c r="V13" s="1618">
        <f>+U13</f>
        <v>0</v>
      </c>
      <c r="W13" s="1619">
        <f>+R13*Q12</f>
        <v>0.47392372297687874</v>
      </c>
      <c r="X13" s="1620">
        <f>+W13*P12</f>
        <v>0.16587330304190756</v>
      </c>
    </row>
    <row r="14" spans="2:24" ht="24.75" customHeight="1" x14ac:dyDescent="0.35">
      <c r="B14" s="1800"/>
      <c r="C14" s="1803"/>
      <c r="D14" s="1724"/>
      <c r="E14" s="1847" t="str">
        <f>IF(D5=LISTAS!R41,"ESTADOS FINANCIEROS Fondo de Pensiones Públicas de Bogotá – FPPB",IF(D5="262 - Empresa de Transporte del Tercer Milenio - Transmilenio S.A. ","ESTADOS FINANCIEROS Sistema Integrado de Transporte Público - SITP",""))</f>
        <v>ESTADOS FINANCIEROS Fondo de Pensiones Públicas de Bogotá – FPPB</v>
      </c>
      <c r="F14" s="1848"/>
      <c r="G14" s="1867">
        <f>IF(E14="ESTADOS FINANCIEROS Fondo de Pensiones Públicas de Bogotá – FPPB",W13,IF(E14="ESTADOS FINANCIEROS Sistema Integrado de Transporte Público - SITP",W13,""))</f>
        <v>0.47392372297687874</v>
      </c>
      <c r="H14" s="1869">
        <f>IF(D5="206 - Fondo de Prestaciones Económicas, Cesantías y Pensiones – FONCEP ",'HALLAZGOS OPINIÓN_FIN Otros'!H16,IF(D5="262 - Empresa de Transporte del Tercer Milenio - Transmilenio S.A. ",'HALLAZGOS OPINIÓN_FIN Otros'!H163,""))</f>
        <v>0</v>
      </c>
      <c r="I14" s="1593"/>
      <c r="J14" s="1590"/>
      <c r="K14" s="1834">
        <f>IFERROR(IF(D14="No Aplica","No Aplica",IF(G14="No Aplica","No Aplica",(G14*H14))),"")</f>
        <v>0</v>
      </c>
      <c r="L14" s="1639" t="str">
        <f>IF(D5="206 - Fondo de Prestaciones Económicas, Cesantías y Pensiones – FONCEP ","OPINIÓN ESTADOS FINANCIEROS FPPB",IF(D5="262 - Empresa de Transporte del Tercer Milenio - Transmilenio S.A. ","OPINIÓN ESTADOS FINANCIEROS SITP",""))</f>
        <v>OPINIÓN ESTADOS FINANCIEROS FPPB</v>
      </c>
      <c r="M14" s="812"/>
      <c r="N14" s="1621" t="s">
        <v>1913</v>
      </c>
      <c r="O14" s="1616">
        <f>SUM(O12:O13)</f>
        <v>7580387204950</v>
      </c>
      <c r="P14" s="1825"/>
      <c r="Q14" s="1826"/>
      <c r="R14" s="1622">
        <v>1</v>
      </c>
      <c r="S14" s="1618">
        <f t="shared" ref="S14" si="0">+R14</f>
        <v>1</v>
      </c>
      <c r="T14" s="1623"/>
      <c r="U14" s="1618"/>
      <c r="V14" s="1618"/>
      <c r="W14" s="1619">
        <f>SUM(W12:W13)</f>
        <v>0.6</v>
      </c>
      <c r="X14" s="1624"/>
    </row>
    <row r="15" spans="2:24" ht="36.6" customHeight="1" x14ac:dyDescent="0.35">
      <c r="B15" s="1800"/>
      <c r="C15" s="1803"/>
      <c r="D15" s="1724"/>
      <c r="E15" s="1849"/>
      <c r="F15" s="1850"/>
      <c r="G15" s="1868"/>
      <c r="H15" s="1870"/>
      <c r="I15" s="1593"/>
      <c r="J15" s="1590"/>
      <c r="K15" s="1737"/>
      <c r="L15" s="1633" t="str">
        <f>IF(E14="","",IF(H14=100%,"Limpia o Sin Salvedades",IF(H14&gt;=75%,"Con Salvedades",IF(H14=0%,"Negativa","Abstención"))))</f>
        <v>Negativa</v>
      </c>
      <c r="M15" s="812"/>
      <c r="N15" s="1838" t="s">
        <v>1922</v>
      </c>
      <c r="O15" s="1839"/>
      <c r="P15" s="1826"/>
      <c r="Q15" s="1620">
        <v>0.4</v>
      </c>
      <c r="R15" s="408"/>
      <c r="S15" s="408"/>
      <c r="W15" s="1625"/>
      <c r="X15" s="1620">
        <f>+Q15*P12</f>
        <v>0.13999999999999999</v>
      </c>
    </row>
    <row r="16" spans="2:24" ht="30" customHeight="1" x14ac:dyDescent="0.35">
      <c r="B16" s="1800"/>
      <c r="C16" s="1803"/>
      <c r="D16" s="1724"/>
      <c r="E16" s="1775" t="str">
        <f>IF(D5="206 - Fondo de Prestaciones Económicas, Cesantías y Pensiones – FONCEP ","DESEMPEÑO FINANCIERO FONCEP",IF(D5="262 - Empresa de Transporte del Tercer Milenio - Transmilenio S.A. ","DESEMPEÑO FINANCIERO Transmilenio S.A.","DESEMPEÑO FINANCIERO"))</f>
        <v>DESEMPEÑO FINANCIERO FONCEP</v>
      </c>
      <c r="F16" s="1776"/>
      <c r="G16" s="1779">
        <f>IF(VLOOKUP($D$5,TablaSujetos215[],3,FALSE)="PUBLICA con ing",VLOOKUP(E16,TablaProcesos516[],2,FALSE),IF(VLOOKUP($D$5,TablaSujetos215[],3,FALSE)="PUBLICA sin ing",VLOOKUP(E16,TablaProcesos516[],3,FALSE),IF(VLOOKUP($D$5,TablaSujetos215[],3,FALSE)="PUBLICA",VLOOKUP(E16,TablaProcesos516[],4,FALSE),IF(VLOOKUP($D$5,TablaSujetos215[],3,FALSE)="MIXTA&gt;50 sin Ing",VLOOKUP(E16,TablaProcesos516[],5,FALSE),IF(VLOOKUP($D$5,TablaSujetos215[],3,FALSE)="MIXTA&gt;50",VLOOKUP(E16,TablaProcesos516[],6,FALSE),IF(VLOOKUP($D$5,TablaSujetos215[],3,FALSE)="MIXTA&lt;50",VLOOKUP(E16,TablaProcesos516[],7,FALSE),IF(VLOOKUP($D$5,TablaSujetos215[],3,FALSE)="CORPORACION",VLOOKUP(E16,TablaProcesos516[],8,FALSE),"No Aplica")))))))</f>
        <v>0.4</v>
      </c>
      <c r="H16" s="1781">
        <f>IF(G16="No Aplica","No Aplica",IF(G16&gt;1%,'DESEMPEÑO FINANCIERO'!I17))</f>
        <v>0.79285714285714282</v>
      </c>
      <c r="I16" s="1781">
        <f>IF(G16="No Aplica","No Aplica",IF(G16&gt;1%,'DESEMPEÑO FINANCIERO'!J17))</f>
        <v>0.78333333333333321</v>
      </c>
      <c r="J16" s="1851"/>
      <c r="K16" s="1738">
        <f>IFERROR(IF(D12="No Aplica","No Aplica",IF(G16="No Aplica","No Aplica",AVERAGE(H16:J17)*G16)),"")</f>
        <v>0.31523809523809521</v>
      </c>
      <c r="L16" s="1109" t="s">
        <v>1520</v>
      </c>
      <c r="M16" s="812"/>
      <c r="O16" s="408"/>
      <c r="P16" s="408"/>
      <c r="Q16" s="1620">
        <v>1</v>
      </c>
      <c r="R16" s="408"/>
      <c r="S16" s="408"/>
      <c r="X16" s="1617">
        <f>SUM(X12:X15)</f>
        <v>0.35</v>
      </c>
    </row>
    <row r="17" spans="2:19" ht="23.45" customHeight="1" x14ac:dyDescent="0.35">
      <c r="B17" s="1800"/>
      <c r="C17" s="1803"/>
      <c r="D17" s="1725"/>
      <c r="E17" s="1777"/>
      <c r="F17" s="1778"/>
      <c r="G17" s="1780"/>
      <c r="H17" s="1782"/>
      <c r="I17" s="1782"/>
      <c r="J17" s="1774"/>
      <c r="K17" s="1737"/>
      <c r="L17" s="1219" t="str">
        <f>IF(G16="No Aplica","No Aplica",IF(AND(AVERAGE(H16:I16)&gt;=75%,AVERAGE(H16:I16)&lt;=100%),"Efectivo","Inefectivo"))</f>
        <v>Efectivo</v>
      </c>
      <c r="M17" s="812"/>
      <c r="S17" s="408"/>
    </row>
    <row r="18" spans="2:19" ht="36" customHeight="1" thickBot="1" x14ac:dyDescent="0.4">
      <c r="B18" s="1801"/>
      <c r="C18" s="1804"/>
      <c r="D18" s="1721" t="s">
        <v>1521</v>
      </c>
      <c r="E18" s="1721"/>
      <c r="F18" s="1722"/>
      <c r="G18" s="813" t="str">
        <f>IF(G14="",SUM(G12:G16),"100%")</f>
        <v>100%</v>
      </c>
      <c r="H18" s="1597">
        <f>IF(G14="",IFERROR(IF($D$12="No Aplica","No Aplica",IF($G$12="No Aplica",($G$16*H16),IF($G$16="No Aplica",($G$12*H12),($G$12*$H$12)+($G$16*$H$16)))),""),($G$12*$H$12)+(G14*H14)+($G$16*$H$16))</f>
        <v>0.44321913416597841</v>
      </c>
      <c r="I18" s="910">
        <f>IFERROR(IF(D12="No Aplica","No Aplica",IF($G$16="No Aplica","No Aplica",I16)),"")</f>
        <v>0.78333333333333321</v>
      </c>
      <c r="J18" s="911"/>
      <c r="K18" s="1594">
        <f>SUM(K12:K17)</f>
        <v>0.44131437226121645</v>
      </c>
      <c r="L18" s="1111" t="s">
        <v>149</v>
      </c>
      <c r="M18" s="814"/>
      <c r="N18" s="1640"/>
    </row>
    <row r="19" spans="2:19" ht="38.450000000000003" customHeight="1" x14ac:dyDescent="0.35">
      <c r="B19" s="1783" t="s">
        <v>501</v>
      </c>
      <c r="C19" s="1799" t="s">
        <v>1522</v>
      </c>
      <c r="D19" s="1723">
        <f>IF(VLOOKUP($D$5,TablaSujetos215[],3,FALSE)="MIXTA&lt;50",VLOOKUP(B19,TablaMacroprocesos43817[],4,FALSE),IF(VLOOKUP($D$5,TablaSujetos215[],3,FALSE)="MIXTA&gt;50",VLOOKUP(B19,TablaMacroprocesos43817[],3,FALSE),IF(VLOOKUP($D$5,TablaSujetos215[],3,FALSE)="CORPORACION",VLOOKUP(B19,TablaMacroprocesos43817[],5,FALSE),IF(VLOOKUP($D$5,TablaSujetos215[],1,FALSE)="100 - Concejo de Bogotá D.C.",0.45,VLOOKUP(B19,TablaMacroprocesos43817[],2,FALSE)))))</f>
        <v>0.25</v>
      </c>
      <c r="E19" s="1786" t="s">
        <v>501</v>
      </c>
      <c r="F19" s="1795" t="s">
        <v>537</v>
      </c>
      <c r="G19" s="1796">
        <f>IF(VLOOKUP($D$5,TablaSujetos215[],3,FALSE)="PUBLICA con ing",VLOOKUP(F19,TablaProcesos516[],2,FALSE),IF(VLOOKUP($D$5,TablaSujetos215[],3,FALSE)="PUBLICA sin ing",VLOOKUP(F19,TablaProcesos516[],3,FALSE),IF(VLOOKUP($D$5,TablaSujetos215[],3,FALSE)="PUBLICA",VLOOKUP(F19,TablaProcesos516[],4,FALSE),IF(VLOOKUP($D$5,TablaSujetos215[],3,FALSE)="MIXTA&gt;50 sin Ing",VLOOKUP(F19,TablaProcesos516[],5,FALSE),IF(VLOOKUP($D$5,TablaSujetos215[],3,FALSE)="MIXTA&gt;50",VLOOKUP(F19,TablaProcesos516[],6,FALSE),IF(VLOOKUP($D$5,TablaSujetos215[],3,FALSE)="MIXTA&lt;50",VLOOKUP(F19,TablaProcesos516[],7,FALSE),IF(VLOOKUP($D$5,TablaSujetos215[],3,FALSE)="CORPORACION",VLOOKUP(F19,TablaProcesos516[],8,FALSE),IF(VLOOKUP($D$5,TablaSujetos215[],1,FALSE)=LISTAS!F5,"No Aplica",VLOOKUP(F19,TablaProcesos516[],9,FALSE)))))))))</f>
        <v>0.4</v>
      </c>
      <c r="H19" s="1797">
        <f>IF(G19="No Aplica","No Aplica",IF(G19&gt;1%,'HALLAZGOS CONCEPTO_PRES'!E99))</f>
        <v>1</v>
      </c>
      <c r="I19" s="1771"/>
      <c r="J19" s="1773"/>
      <c r="K19" s="1736">
        <f>IFERROR(IF(D19="No Aplica","No aplica",IF(G19="No Aplica","No Aplica",(G19*H19))),"")</f>
        <v>0.4</v>
      </c>
      <c r="L19" s="1108" t="s">
        <v>1711</v>
      </c>
      <c r="N19" s="1640"/>
      <c r="O19" s="1640"/>
    </row>
    <row r="20" spans="2:19" ht="28.9" customHeight="1" x14ac:dyDescent="0.35">
      <c r="B20" s="1784"/>
      <c r="C20" s="1800"/>
      <c r="D20" s="1724"/>
      <c r="E20" s="1787"/>
      <c r="F20" s="1794"/>
      <c r="G20" s="1780"/>
      <c r="H20" s="1798"/>
      <c r="I20" s="1772"/>
      <c r="J20" s="1774"/>
      <c r="K20" s="1737"/>
      <c r="L20" s="1219" t="str">
        <f>IF(G19="No Aplica","No Aplica",IF(AND(AVERAGE(H19)&gt;=75%,AVERAGE(H19)&lt;=100%),"Razonable",IF(AND(AVERAGE(H19)&gt;=65%,AVERAGE(H19)&lt;75%),"Con Salvedades","No Razonable")))</f>
        <v>Razonable</v>
      </c>
      <c r="N20" s="1640"/>
      <c r="O20" s="1640"/>
    </row>
    <row r="21" spans="2:19" ht="34.15" customHeight="1" x14ac:dyDescent="0.35">
      <c r="B21" s="1784"/>
      <c r="C21" s="1800"/>
      <c r="D21" s="1724"/>
      <c r="E21" s="1787"/>
      <c r="F21" s="1805" t="s">
        <v>543</v>
      </c>
      <c r="G21" s="1779">
        <f>IF(VLOOKUP($D$5,TablaSujetos215[],3,FALSE)="PUBLICA con ing",VLOOKUP(F21,TablaProcesos516[],2,FALSE),IF(VLOOKUP($D$5,TablaSujetos215[],3,FALSE)="PUBLICA sin ing",VLOOKUP(F21,TablaProcesos516[],3,FALSE),IF(VLOOKUP($D$5,TablaSujetos215[],3,FALSE)="PUBLICA",VLOOKUP(F21,TablaProcesos516[],4,FALSE),IF(VLOOKUP($D$5,TablaSujetos215[],3,FALSE)="MIXTA&gt;50 sin Ing",VLOOKUP(F21,TablaProcesos516[],3,FALSE),IF(VLOOKUP($D$5,TablaSujetos215[],3,FALSE)="MIXTA&gt;50",VLOOKUP(F21,TablaProcesos516[],6,FALSE),IF(VLOOKUP($D$5,TablaSujetos215[],3,FALSE)="MIXTA&lt;50",VLOOKUP(F21,TablaProcesos516[],7,FALSE),IF(VLOOKUP($D$5,TablaSujetos215[],3,FALSE)="CORPORACION",VLOOKUP(F21,TablaProcesos516[],8,FALSE),IF(VLOOKUP($D$5,TablaSujetos215[],1,FALSE)="CONCEJO","NO APLICA",VLOOKUP(F21,TablaProcesos516[],9,FALSE)))))))))</f>
        <v>0.6</v>
      </c>
      <c r="H21" s="1781">
        <f>IF(G21="No Aplica","No Aplica",IF(G21&gt;1%,'HALLAZGOS CONCEPTO_PRES'!E100))</f>
        <v>1</v>
      </c>
      <c r="I21" s="1806"/>
      <c r="J21" s="1808"/>
      <c r="K21" s="1738">
        <f>IFERROR(IF(D21="No Aplica","No Aplica",IF(G21="No Aplica","No Aplica",(G21*H21))),"")</f>
        <v>0.6</v>
      </c>
      <c r="L21" s="1109" t="s">
        <v>1710</v>
      </c>
      <c r="N21" s="1640"/>
    </row>
    <row r="22" spans="2:19" ht="24.6" customHeight="1" x14ac:dyDescent="0.35">
      <c r="B22" s="1784"/>
      <c r="C22" s="1800"/>
      <c r="D22" s="1724"/>
      <c r="E22" s="1788"/>
      <c r="F22" s="1794"/>
      <c r="G22" s="1780"/>
      <c r="H22" s="1782"/>
      <c r="I22" s="1807"/>
      <c r="J22" s="1809"/>
      <c r="K22" s="1737"/>
      <c r="L22" s="1219" t="str">
        <f>IF(G21="No Aplica","No Aplica",IF(AND(AVERAGE(H21)&gt;=75%,AVERAGE(H21)&lt;=100%),"Razonable",IF(AND(AVERAGE(H21)&gt;=65%,AVERAGE(H21)&lt;75%),"Con Salvedades","No Razonable")))</f>
        <v>Razonable</v>
      </c>
    </row>
    <row r="23" spans="2:19" ht="28.9" customHeight="1" x14ac:dyDescent="0.35">
      <c r="B23" s="1785"/>
      <c r="C23" s="1800"/>
      <c r="D23" s="1724"/>
      <c r="E23" s="1840" t="s">
        <v>1523</v>
      </c>
      <c r="F23" s="1841"/>
      <c r="G23" s="1844">
        <f>IF(D19="No Aplica","No Aplica",SUM(G19:G22))</f>
        <v>1</v>
      </c>
      <c r="H23" s="1846">
        <f>IFERROR(IF(D19="No Aplica","No Aplica",IF(G19="No Aplica",(G21*H21),IF(G21="No Aplica",(G19*H19),(G19*H19)+(G21*H21)))),"")</f>
        <v>1</v>
      </c>
      <c r="I23" s="1806"/>
      <c r="J23" s="1808"/>
      <c r="K23" s="1739">
        <f>SUM(K19:K22)</f>
        <v>1</v>
      </c>
      <c r="L23" s="1109" t="s">
        <v>1712</v>
      </c>
    </row>
    <row r="24" spans="2:19" ht="22.9" customHeight="1" x14ac:dyDescent="0.35">
      <c r="B24" s="1784"/>
      <c r="C24" s="1800"/>
      <c r="D24" s="1725"/>
      <c r="E24" s="1842"/>
      <c r="F24" s="1843"/>
      <c r="G24" s="1845"/>
      <c r="H24" s="1829"/>
      <c r="I24" s="1807"/>
      <c r="J24" s="1809"/>
      <c r="K24" s="1740"/>
      <c r="L24" s="1219" t="str">
        <f>IF(G23="No Aplica","No Aplica",IF(AND(AVERAGE(H23)&gt;=75%,AVERAGE(H23)&lt;=100%),"Razonable",IF(AND(AVERAGE(H23)&gt;=65%,AVERAGE(H23)&lt;75%),"Con Salvedades","No Razonable")))</f>
        <v>Razonable</v>
      </c>
      <c r="N24" s="1641"/>
    </row>
    <row r="25" spans="2:19" ht="16.899999999999999" customHeight="1" x14ac:dyDescent="0.35">
      <c r="B25" s="905"/>
      <c r="C25" s="1800"/>
      <c r="D25" s="1827">
        <f>IF(VLOOKUP($D$5,TablaSujetos215[],1,FALSE)="100 - Concejo de Bogotá D.C.","No Aplica",IF(VLOOKUP($D$5,TablaSujetos215[],3,FALSE)="MIXTA&lt;50",VLOOKUP(B26,TablaMacroprocesos43817[],4,FALSE),IF(VLOOKUP($D$5,TablaSujetos215[],3,FALSE)="MIXTA&gt;50",VLOOKUP(B26,TablaMacroprocesos43817[],3,FALSE),IF(VLOOKUP($D$5,TablaSujetos215[],3,FALSE)="CORPORACION",VLOOKUP(B26,TablaMacroprocesos43817[],5,FALSE),VLOOKUP(B26,TablaMacroprocesos43817[],2,FALSE)))))</f>
        <v>0.4</v>
      </c>
      <c r="E25" s="1789" t="s">
        <v>1524</v>
      </c>
      <c r="F25" s="1792" t="s">
        <v>1603</v>
      </c>
      <c r="G25" s="1871">
        <f>IF(VLOOKUP($D$5,TablaSujetos215[],3,FALSE)="MIXTA&lt;50",VLOOKUP(F25,TablaProcesos516[],4,FALSE),IF(VLOOKUP($D$5,TablaSujetos215[],3,FALSE)="MIXTA&gt;50",VLOOKUP(F25,TablaProcesos516[],3,FALSE),IF(VLOOKUP($D$5,TablaSujetos215[],3,FALSE)="CORPORACION",VLOOKUP(F25,TablaProcesos516[],5,FALSE),IF(VLOOKUP($D$5,TablaSujetos215[],1,FALSE)="100 - Concejo de Bogotá D.C.","No Aplica",VLOOKUP(F25,TablaProcesos516[],2,FALSE)))))</f>
        <v>0.4</v>
      </c>
      <c r="H25" s="1858">
        <f>IF(G25="No Aplica","No Aplica",IF('PLANES Y PROYECTOS'!D11="PLAN ESTRATEGICO INSTITUCIONAL o CORPORATIVO o el que haga sus veces",'PLANES Y PROYECTOS'!H11,IF('PLANES Y PROYECTOS'!D11="PLANES Y PROYECTOS",'PLANES Y PROYECTOS'!I16)))</f>
        <v>0.84488243782361427</v>
      </c>
      <c r="I25" s="1858">
        <f>IF(G25="No Aplica","No Aplica",IF('PLANES Y PROYECTOS'!D11="PLAN ESTRATEGICO INSTITUCIONAL o CORPORATIVO o el que haga sus veces",'PLANES Y PROYECTOS'!H12,IF('PLANES Y PROYECTOS'!D11="PLANES Y PROYECTOS",'PLANES Y PROYECTOS'!L16)))</f>
        <v>0.92497132811250538</v>
      </c>
      <c r="J25" s="1808"/>
      <c r="K25" s="1835">
        <f>IFERROR(IF(D25="No Aplica","No Aplica",IF(G25="No Aplica","No Aplica",AVERAGE(H25:J26)*G25)),"")</f>
        <v>0.35397075318722399</v>
      </c>
      <c r="L25" s="1748" t="s">
        <v>1628</v>
      </c>
      <c r="N25" s="1641"/>
    </row>
    <row r="26" spans="2:19" ht="19.899999999999999" customHeight="1" x14ac:dyDescent="0.35">
      <c r="B26" s="1855" t="s">
        <v>510</v>
      </c>
      <c r="C26" s="1800"/>
      <c r="D26" s="1724"/>
      <c r="E26" s="1790"/>
      <c r="F26" s="1793"/>
      <c r="G26" s="1872"/>
      <c r="H26" s="1859"/>
      <c r="I26" s="1859"/>
      <c r="J26" s="1854"/>
      <c r="K26" s="1836"/>
      <c r="L26" s="1749"/>
      <c r="N26" s="1640"/>
    </row>
    <row r="27" spans="2:19" ht="19.899999999999999" customHeight="1" x14ac:dyDescent="0.35">
      <c r="B27" s="1855"/>
      <c r="C27" s="1800"/>
      <c r="D27" s="1724"/>
      <c r="E27" s="1790"/>
      <c r="F27" s="1793"/>
      <c r="G27" s="1872"/>
      <c r="H27" s="1859"/>
      <c r="I27" s="1859"/>
      <c r="J27" s="1854"/>
      <c r="K27" s="1836"/>
      <c r="L27" s="1857" t="str">
        <f>IF(G25="No Aplica","No Aplica",IF(AND(AVERAGE(H25:I25)&gt;=75%,AVERAGE(H25:I25)&lt;=100%),"Favorable",IF(AND(AVERAGE(H25:I25)&gt;=65%,AVERAGE(H25:I25)&lt;75%),"Con Observaciones","Desfavorable")))</f>
        <v>Favorable</v>
      </c>
      <c r="N27" s="1640"/>
    </row>
    <row r="28" spans="2:19" ht="15.75" customHeight="1" x14ac:dyDescent="0.35">
      <c r="B28" s="1784"/>
      <c r="C28" s="1800"/>
      <c r="D28" s="1724"/>
      <c r="E28" s="1790"/>
      <c r="F28" s="1794"/>
      <c r="G28" s="1780"/>
      <c r="H28" s="1860"/>
      <c r="I28" s="1860"/>
      <c r="J28" s="1809"/>
      <c r="K28" s="1837"/>
      <c r="L28" s="1857"/>
      <c r="N28" s="1641"/>
    </row>
    <row r="29" spans="2:19" ht="19.149999999999999" customHeight="1" x14ac:dyDescent="0.35">
      <c r="B29" s="1784"/>
      <c r="C29" s="1800"/>
      <c r="D29" s="1724"/>
      <c r="E29" s="1790"/>
      <c r="F29" s="1805" t="s">
        <v>1604</v>
      </c>
      <c r="G29" s="1779">
        <f>IF(VLOOKUP($D$5,TablaSujetos215[],3,FALSE)="MIXTA&lt;50",VLOOKUP(F29,TablaProcesos516[],4,FALSE),IF(VLOOKUP($D$5,TablaSujetos215[],3,FALSE)="MIXTA&gt;50",VLOOKUP(F29,TablaProcesos516[],3,FALSE),IF(VLOOKUP($D$5,TablaSujetos215[],3,FALSE)="CORPORACION",VLOOKUP(F29,TablaProcesos516[],5,FALSE),IF(VLOOKUP($D$5,TablaSujetos215[],1,FALSE)="100 - Concejo de Bogotá D.C.","No Aplica",VLOOKUP(F29,TablaProcesos516[],2,FALSE)))))</f>
        <v>0.6</v>
      </c>
      <c r="H29" s="1781">
        <f>IF(G29="No Aplica","No Aplica",IF(G29&gt;1%,'CALIFICACIÓN GASTO PÚBLICO'!C16))</f>
        <v>0.73269837205523991</v>
      </c>
      <c r="I29" s="1781">
        <f>IF(G29="No Aplica","No Aplica",IF(G29&gt;1%,'CALIFICACIÓN GASTO PÚBLICO'!C17))</f>
        <v>0.7380806175037109</v>
      </c>
      <c r="J29" s="1873">
        <f>IF(G29="No Aplica","No Aplica",IF(G29&gt;1%,'CALIFICACIÓN GASTO PÚBLICO'!C15))</f>
        <v>0.73259884790203089</v>
      </c>
      <c r="K29" s="1741">
        <f>IFERROR(IF(D25="No Aplica","No Aplica",IF(G29="No Aplica","No Aplica",AVERAGE(H29:J29)*G29)),"")</f>
        <v>0.44067556749219644</v>
      </c>
      <c r="L29" s="1240" t="s">
        <v>1709</v>
      </c>
    </row>
    <row r="30" spans="2:19" ht="27.6" customHeight="1" x14ac:dyDescent="0.35">
      <c r="B30" s="1784"/>
      <c r="C30" s="1800"/>
      <c r="D30" s="1724"/>
      <c r="E30" s="1791"/>
      <c r="F30" s="1794"/>
      <c r="G30" s="1780"/>
      <c r="H30" s="1782"/>
      <c r="I30" s="1782"/>
      <c r="J30" s="1874"/>
      <c r="K30" s="1742"/>
      <c r="L30" s="1219" t="str">
        <f>IF(G29="No Aplica","No Aplica",IF(AND(AVERAGE(H29:J29)&gt;=75%,AVERAGE(H29:J29)&lt;=100%),"Favorable",IF(AND(AVERAGE(H29:J29)&gt;=65%,AVERAGE(H29:J29)&lt;75%),"Con Observaciones","Desfavorable")))</f>
        <v>Con Observaciones</v>
      </c>
    </row>
    <row r="31" spans="2:19" ht="35.450000000000003" customHeight="1" x14ac:dyDescent="0.35">
      <c r="B31" s="1785"/>
      <c r="C31" s="1800"/>
      <c r="D31" s="1724"/>
      <c r="E31" s="1840" t="s">
        <v>1629</v>
      </c>
      <c r="F31" s="1841"/>
      <c r="G31" s="1877">
        <f>IF(D25="No Aplica","No Aplica",SUM(G25:G30))</f>
        <v>1</v>
      </c>
      <c r="H31" s="1828">
        <f>IFERROR(IF($D$25="No Aplica","No Aplica",IF($G$25="No Aplica",($G$29*H29),IF($G$29="No Aplica",($G$25*H25),($G$25*H25)+($G$29*H29)))),"")</f>
        <v>0.77757199836258972</v>
      </c>
      <c r="I31" s="1828">
        <f>IFERROR(IF($D$25="No Aplica","No Aplica",IF($G$25="No Aplica",($G$29*I29),IF($G$29="No Aplica",($G$25*I25),($G$25*I25)+($G$29*I29)))),"")</f>
        <v>0.81283690174722878</v>
      </c>
      <c r="J31" s="1830">
        <f>IFERROR(IF(D25="No Aplica","No Aplica",IF($G$29="No Aplica","No Aplica",J29)),"")</f>
        <v>0.73259884790203089</v>
      </c>
      <c r="K31" s="1739">
        <f>IF(D25="No Aplica","No Aplica",SUM(K25:K30))</f>
        <v>0.79464632067942043</v>
      </c>
      <c r="L31" s="1109" t="s">
        <v>1713</v>
      </c>
    </row>
    <row r="32" spans="2:19" ht="28.9" customHeight="1" thickBot="1" x14ac:dyDescent="0.4">
      <c r="B32" s="1856"/>
      <c r="C32" s="1800"/>
      <c r="D32" s="1724"/>
      <c r="E32" s="1875"/>
      <c r="F32" s="1876"/>
      <c r="G32" s="1845"/>
      <c r="H32" s="1829"/>
      <c r="I32" s="1829"/>
      <c r="J32" s="1831"/>
      <c r="K32" s="1740"/>
      <c r="L32" s="1110" t="str">
        <f>IF(G31="No Aplica","No Aplica",IF(AND(AVERAGE(H31:J31)&gt;=75%,AVERAGE(H31:J31)&lt;=100%),"Favorable",IF(AND(AVERAGE(H31:J31)&gt;=65%,AVERAGE(H31:J31)&lt;75%),"Con Observaciones","Desfavorable")))</f>
        <v>Favorable</v>
      </c>
    </row>
    <row r="33" spans="2:24" ht="35.25" customHeight="1" x14ac:dyDescent="0.35">
      <c r="B33" s="1101"/>
      <c r="C33" s="1800"/>
      <c r="D33" s="1726" t="s">
        <v>1714</v>
      </c>
      <c r="E33" s="1726"/>
      <c r="F33" s="1727"/>
      <c r="G33" s="1730">
        <f>IFERROR(IF(G23="No Aplica","No Aplica",IF(G31="No Aplica","No Aplica",AVERAGE(G23,G31))),"")</f>
        <v>1</v>
      </c>
      <c r="H33" s="1732">
        <f>IFERROR(IF(H23="No Aplica","No Aplica",IF(H31="No Aplica","No Aplica",AVERAGE(H23,H31))),"")</f>
        <v>0.88878599918129486</v>
      </c>
      <c r="I33" s="1734">
        <f>IFERROR(IF(I23="No Aplica","No Aplica",IF(I31="No Aplica","No Aplica",AVERAGE(I23,I31))),"")</f>
        <v>0.81283690174722878</v>
      </c>
      <c r="J33" s="1735">
        <f>IFERROR(IF(J23="No Aplica","No Aplica",IF(J31="No Aplica","No Aplica",AVERAGE(J23,J31))),"")</f>
        <v>0.73259884790203089</v>
      </c>
      <c r="K33" s="1750">
        <f>IFERROR(AVERAGE(K23,K31),"")</f>
        <v>0.89732316033971027</v>
      </c>
      <c r="L33" s="1109" t="s">
        <v>1714</v>
      </c>
      <c r="M33" s="814"/>
      <c r="N33" s="1640"/>
    </row>
    <row r="34" spans="2:24" ht="35.25" customHeight="1" thickBot="1" x14ac:dyDescent="0.4">
      <c r="B34" s="1101"/>
      <c r="C34" s="1801"/>
      <c r="D34" s="1728"/>
      <c r="E34" s="1728"/>
      <c r="F34" s="1729"/>
      <c r="G34" s="1731"/>
      <c r="H34" s="1733"/>
      <c r="I34" s="1733"/>
      <c r="J34" s="1735"/>
      <c r="K34" s="1751"/>
      <c r="L34" s="1110" t="str">
        <f>IF(G33="No Aplica","No Aplica",IF(AND(AVERAGE(H33:J33)&gt;=75%,AVERAGE(H33:J33)&lt;=100%),"Favorable",IF(AND(AVERAGE(H33:J33)&gt;=65%,AVERAGE(H33:J33)&lt;75%),"Con Observaciones","Desfavorable")))</f>
        <v>Favorable</v>
      </c>
      <c r="M34" s="814"/>
      <c r="N34" s="1640"/>
    </row>
    <row r="35" spans="2:24" ht="24.75" customHeight="1" x14ac:dyDescent="0.35">
      <c r="B35" s="1861" t="s">
        <v>1525</v>
      </c>
      <c r="C35" s="1864" t="s">
        <v>1525</v>
      </c>
      <c r="D35" s="1723">
        <f>SUM(D12:D32)</f>
        <v>1</v>
      </c>
      <c r="E35" s="1811" t="s">
        <v>1526</v>
      </c>
      <c r="F35" s="1812"/>
      <c r="G35" s="1813"/>
      <c r="H35" s="1655">
        <f>IFERROR(IF(D25="No Aplica",IF(D19="No Aplica",H18,((D12*H18)+(D19*H23))/(D12+D19)),IF(D19="No Aplica",((D12*H18)+(D25*H31))/(D12+D25),((D12*H18)+(D19*H23)+(D25*H31))/(D12+D19+D25))),"")</f>
        <v>0.71615549630312836</v>
      </c>
      <c r="I35" s="1655">
        <f>IF(I18="No Aplica",IF(G31="No Aplica","",(D25*I31)/D25),IF(G31="No Aplica",(D12*I18)/D12,((D12*I18)+(D25*I31))/(D12+D25)))</f>
        <v>0.79906856982074415</v>
      </c>
      <c r="J35" s="1656">
        <f>IF(G31="No Aplica","",(D25*J31)/D25)</f>
        <v>0.73259884790203089</v>
      </c>
      <c r="K35" s="1743">
        <f>IFERROR(AVERAGE(K18,K33),"")</f>
        <v>0.66931876630046339</v>
      </c>
      <c r="L35"/>
    </row>
    <row r="36" spans="2:24" ht="26.25" customHeight="1" thickBot="1" x14ac:dyDescent="0.4">
      <c r="B36" s="1862"/>
      <c r="C36" s="1865"/>
      <c r="D36" s="1724"/>
      <c r="E36" s="1814" t="s">
        <v>1527</v>
      </c>
      <c r="F36" s="1815"/>
      <c r="G36" s="1816"/>
      <c r="H36" s="815" t="str">
        <f>IF(H35="","",(IF(H35&gt;=75%,"EFICAZ","INEFICAZ")))</f>
        <v>INEFICAZ</v>
      </c>
      <c r="I36" s="815" t="str">
        <f>IF(I35="","",(IF(I35&gt;=75%,"EFICIENTE","INEFICIENTE")))</f>
        <v>EFICIENTE</v>
      </c>
      <c r="J36" s="827" t="str">
        <f>IF(J35="","",(IF(J35&gt;=75%,"ECONOMICA","ANTIECONOMICA")))</f>
        <v>ANTIECONOMICA</v>
      </c>
      <c r="K36" s="1744"/>
      <c r="L36"/>
    </row>
    <row r="37" spans="2:24" ht="46.5" customHeight="1" thickBot="1" x14ac:dyDescent="0.4">
      <c r="B37" s="1863"/>
      <c r="C37" s="1866"/>
      <c r="D37" s="1810"/>
      <c r="E37" s="1817" t="str">
        <f>IF(K35="","",IF(VLOOKUP($D$5,TablaSujetos215[],3,FALSE)="MIXTA&lt;50","CONCEPTO DE GESTIÓN Y RENTABILIDAD FINANCIERA",IF(VLOOKUP($D$5,TablaSujetos215[],3,FALSE)="CORPORACION","CONCEPTO DE GESTIÓN DEL GASTO DE LOS RECURSOS PÚBLICOS","FENECIMIENTO")))</f>
        <v>FENECIMIENTO</v>
      </c>
      <c r="F37" s="1817"/>
      <c r="G37" s="1817"/>
      <c r="H37" s="1704" t="str">
        <f>IF(OR(E$37="",K35=""),"",IF($E$37="CONCEPTO DE GESTIÓN Y RENTABILIDAD FINANCIERA",IF($K$35&lt;75%,"INEFECTIVO","EFECTIVO"),IF($K$35&lt;75%,"NO SE FENECE","SE FENECE")))</f>
        <v>NO SE FENECE</v>
      </c>
      <c r="I37" s="1705"/>
      <c r="J37" s="1705"/>
      <c r="K37" s="1706"/>
    </row>
    <row r="38" spans="2:24" ht="21.75" customHeight="1" thickBot="1" x14ac:dyDescent="0.4">
      <c r="B38" s="816"/>
      <c r="C38" s="817"/>
      <c r="D38" s="818"/>
      <c r="E38" s="819"/>
      <c r="F38" s="819"/>
      <c r="G38" s="819"/>
      <c r="H38" s="820"/>
      <c r="I38" s="820"/>
      <c r="J38" s="820"/>
      <c r="K38"/>
      <c r="L38"/>
    </row>
    <row r="39" spans="2:24" ht="21" customHeight="1" x14ac:dyDescent="0.35">
      <c r="B39" s="1852" t="s">
        <v>1528</v>
      </c>
      <c r="C39" s="1717"/>
      <c r="D39" s="1718"/>
      <c r="E39" s="1712" t="s">
        <v>1529</v>
      </c>
      <c r="F39" s="1712"/>
      <c r="G39" s="1713"/>
      <c r="H39" s="1123">
        <v>0.74</v>
      </c>
      <c r="I39" s="821"/>
      <c r="J39" s="822"/>
      <c r="K39"/>
      <c r="L39"/>
    </row>
    <row r="40" spans="2:24" ht="21" customHeight="1" thickBot="1" x14ac:dyDescent="0.4">
      <c r="B40" s="1853"/>
      <c r="C40" s="1719"/>
      <c r="D40" s="1720"/>
      <c r="E40" s="1715"/>
      <c r="F40" s="1715"/>
      <c r="G40" s="1716"/>
      <c r="H40" s="824" t="str">
        <f>IF(H39="","",IF(AND(AVERAGE(H39)&gt;=75%,AVERAGE(H39)&lt;=100%),"EFICIENTE",IF(AND(AVERAGE(H39)&gt;=50%,AVERAGE(H39)&lt;75%),"CON DEFICIENCIAS","INEFICIENTE")))</f>
        <v>CON DEFICIENCIAS</v>
      </c>
    </row>
    <row r="41" spans="2:24" ht="22.9" customHeight="1" x14ac:dyDescent="0.35">
      <c r="B41" s="825"/>
      <c r="C41" s="1717" t="s">
        <v>1530</v>
      </c>
      <c r="D41" s="1718"/>
      <c r="E41" s="1711" t="str">
        <f>IF(D5="262 - Empresa de Transporte del Tercer Milenio - Transmilenio S.A. ","CONCEPTO DE CALIDAD Y EFICIENCIA Transmilenio S.A.","CONCEPTO DE CALIDAD Y EFICIENCIA")</f>
        <v>CONCEPTO DE CALIDAD Y EFICIENCIA</v>
      </c>
      <c r="F41" s="1712"/>
      <c r="G41" s="1713"/>
      <c r="H41" s="1123">
        <v>1</v>
      </c>
      <c r="I41" s="1598"/>
      <c r="J41" s="1599"/>
      <c r="K41" s="1699" t="str">
        <f>IF(D5="206 - Fondo de Prestaciones Económicas, Cesantías y Pensiones – FONCEP ","CONTROL INTERNO CONTABLE: CONCEPTO DE CALIDAD Y EFICIENCIA Fondo de Pensiones Públicas de Bogotá – FPPB",IF(D5="262 - Empresa de Transporte del Tercer Milenio - Transmilenio S.A. ","CONTROL INTERNO CONTABLE: CONCEPTO DE CALIDAD Y EFICIENCIA Sistema Integrado de Transporte Público - SITP",""))</f>
        <v>CONTROL INTERNO CONTABLE: CONCEPTO DE CALIDAD Y EFICIENCIA Fondo de Pensiones Públicas de Bogotá – FPPB</v>
      </c>
      <c r="L41" s="1699"/>
    </row>
    <row r="42" spans="2:24" ht="22.9" customHeight="1" thickBot="1" x14ac:dyDescent="0.4">
      <c r="B42" s="825"/>
      <c r="C42" s="1719"/>
      <c r="D42" s="1720"/>
      <c r="E42" s="1714"/>
      <c r="F42" s="1715"/>
      <c r="G42" s="1716"/>
      <c r="H42" s="824" t="str">
        <f>IF(H41="","",IF(AND(AVERAGE(H41)&gt;=75%,AVERAGE(H41)&lt;=100%),"EFICIENTE",IF(AND(AVERAGE(H41)&gt;=50%,AVERAGE(H41)&lt;75%),"CON DEFICIENCIAS","INEFICIENTE")))</f>
        <v>EFICIENTE</v>
      </c>
      <c r="K42" s="1699"/>
      <c r="L42" s="1699"/>
    </row>
    <row r="43" spans="2:24" ht="21" customHeight="1" x14ac:dyDescent="0.35">
      <c r="B43" s="1134"/>
      <c r="C43" s="1717" t="s">
        <v>1531</v>
      </c>
      <c r="D43" s="1718"/>
      <c r="E43" s="1711" t="s">
        <v>1734</v>
      </c>
      <c r="F43" s="1712"/>
      <c r="G43" s="1713"/>
      <c r="H43" s="826">
        <v>0.75</v>
      </c>
      <c r="I43" s="826">
        <v>0.75</v>
      </c>
      <c r="J43" s="828"/>
      <c r="K43" s="1596"/>
      <c r="L43" s="1595" t="str">
        <f>IF(K43="","",IF(AND(AVERAGE(K43)&gt;=75%,AVERAGE(K43)&lt;=100%),"EFICIENTE",IF(AND(AVERAGE(K43)&gt;=50%,AVERAGE(K43)&lt;75%),"CON DEFICIENCIAS","INEFICIENTE")))</f>
        <v/>
      </c>
    </row>
    <row r="44" spans="2:24" ht="21" customHeight="1" thickBot="1" x14ac:dyDescent="0.4">
      <c r="B44" s="1135"/>
      <c r="C44" s="1719"/>
      <c r="D44" s="1720"/>
      <c r="E44" s="1714"/>
      <c r="F44" s="1715"/>
      <c r="G44" s="1716"/>
      <c r="H44" s="824" t="str">
        <f>IF(H43="","",(IF(H43&gt;=75%,"EFICAZ","INEFICAZ")))</f>
        <v>EFICAZ</v>
      </c>
      <c r="I44" s="824" t="str">
        <f>IF(I43="","",(IF(I43&gt;=75%,"EFICIENTE","INEFICIENTE")))</f>
        <v>EFICIENTE</v>
      </c>
      <c r="J44" s="828"/>
    </row>
    <row r="45" spans="2:24" ht="15" customHeight="1" x14ac:dyDescent="0.35">
      <c r="B45" s="829"/>
      <c r="C45" s="829"/>
      <c r="D45" s="829"/>
      <c r="E45" s="829"/>
      <c r="F45" s="830"/>
      <c r="G45" s="830"/>
      <c r="H45" s="906"/>
    </row>
    <row r="46" spans="2:24" ht="15" customHeight="1" x14ac:dyDescent="0.35">
      <c r="B46" s="829"/>
      <c r="C46" s="829"/>
      <c r="D46" s="829"/>
      <c r="E46" s="829"/>
      <c r="F46" s="906"/>
      <c r="G46" s="906"/>
      <c r="H46" s="906"/>
      <c r="I46" s="906"/>
      <c r="J46" s="906"/>
      <c r="K46" s="828"/>
      <c r="L46" s="823"/>
    </row>
    <row r="47" spans="2:24" s="1236" customFormat="1" ht="15" customHeight="1" x14ac:dyDescent="0.35">
      <c r="B47" s="829"/>
      <c r="C47" s="829"/>
      <c r="D47" s="829"/>
      <c r="E47" s="829"/>
      <c r="F47" s="906"/>
      <c r="G47" s="906"/>
      <c r="H47" s="906"/>
      <c r="I47" s="906"/>
      <c r="J47" s="906"/>
      <c r="K47" s="906"/>
      <c r="L47" s="1242"/>
      <c r="N47" s="1613"/>
      <c r="O47" s="1613"/>
      <c r="P47" s="1613"/>
      <c r="Q47" s="1613"/>
      <c r="R47" s="1613"/>
      <c r="S47" s="1613"/>
      <c r="T47" s="1613"/>
      <c r="U47" s="1613"/>
      <c r="V47" s="1613"/>
      <c r="W47" s="1613"/>
      <c r="X47" s="1613"/>
    </row>
    <row r="48" spans="2:24" s="1236" customFormat="1" ht="15" customHeight="1" x14ac:dyDescent="0.35">
      <c r="B48" s="51"/>
      <c r="C48" s="51"/>
      <c r="D48" s="712" t="s">
        <v>828</v>
      </c>
      <c r="E48" s="712" t="s">
        <v>1335</v>
      </c>
      <c r="G48" s="1241"/>
      <c r="H48" s="906"/>
      <c r="I48" s="906"/>
      <c r="J48" s="906"/>
      <c r="K48" s="906"/>
      <c r="L48" s="1243"/>
      <c r="N48" s="1613"/>
      <c r="O48" s="1613"/>
      <c r="P48" s="1613"/>
      <c r="Q48" s="1613"/>
      <c r="R48" s="1613"/>
      <c r="S48" s="1613"/>
      <c r="T48" s="1613"/>
      <c r="U48" s="1613"/>
      <c r="V48" s="1613"/>
      <c r="W48" s="1613"/>
      <c r="X48" s="1613"/>
    </row>
    <row r="49" spans="2:24" s="1236" customFormat="1" ht="29.25" customHeight="1" x14ac:dyDescent="0.35">
      <c r="C49" s="1880" t="s">
        <v>671</v>
      </c>
      <c r="D49" s="232"/>
      <c r="E49" s="1245"/>
      <c r="F49" s="831"/>
      <c r="G49" s="831"/>
      <c r="H49" s="1246" t="s">
        <v>1532</v>
      </c>
      <c r="I49" s="1881"/>
      <c r="J49" s="1881"/>
      <c r="K49" s="906"/>
      <c r="L49" s="906"/>
      <c r="N49" s="1613"/>
      <c r="O49" s="1613"/>
      <c r="P49" s="1613"/>
      <c r="Q49" s="1613"/>
      <c r="R49" s="1613"/>
      <c r="S49" s="1613"/>
      <c r="T49" s="1613"/>
      <c r="U49" s="1613"/>
      <c r="V49" s="1613"/>
      <c r="W49" s="1613"/>
      <c r="X49" s="1613"/>
    </row>
    <row r="50" spans="2:24" s="1236" customFormat="1" ht="33" customHeight="1" x14ac:dyDescent="0.35">
      <c r="C50" s="1880"/>
      <c r="D50" s="232"/>
      <c r="E50" s="1245"/>
      <c r="F50" s="832"/>
      <c r="G50" s="831"/>
      <c r="H50" s="1247"/>
      <c r="I50" s="1882" t="s">
        <v>1335</v>
      </c>
      <c r="J50" s="1882"/>
      <c r="K50" s="906"/>
      <c r="L50" s="906"/>
      <c r="N50" s="1613"/>
      <c r="O50" s="1613"/>
      <c r="P50" s="1613"/>
      <c r="Q50" s="1613"/>
      <c r="R50" s="1613"/>
      <c r="S50" s="1613"/>
      <c r="T50" s="1613"/>
      <c r="U50" s="1613"/>
      <c r="V50" s="1613"/>
      <c r="W50" s="1613"/>
      <c r="X50" s="1613"/>
    </row>
    <row r="51" spans="2:24" s="1236" customFormat="1" ht="33" customHeight="1" x14ac:dyDescent="0.35">
      <c r="C51" s="1880"/>
      <c r="D51" s="232"/>
      <c r="E51" s="1245"/>
      <c r="F51" s="832"/>
      <c r="G51" s="831"/>
      <c r="H51" s="1246" t="s">
        <v>1533</v>
      </c>
      <c r="I51" s="1884"/>
      <c r="J51" s="1884"/>
      <c r="K51" s="1218"/>
      <c r="L51" s="906"/>
      <c r="N51" s="1613"/>
      <c r="O51" s="1613"/>
      <c r="P51" s="1613"/>
      <c r="Q51" s="1613"/>
      <c r="R51" s="1613"/>
      <c r="S51" s="1613"/>
      <c r="T51" s="1613"/>
      <c r="U51" s="1613"/>
      <c r="V51" s="1613"/>
      <c r="W51" s="1613"/>
      <c r="X51" s="1613"/>
    </row>
    <row r="52" spans="2:24" s="1236" customFormat="1" ht="33" customHeight="1" x14ac:dyDescent="0.35">
      <c r="C52" s="1880"/>
      <c r="D52" s="232"/>
      <c r="E52" s="1245"/>
      <c r="F52" s="832"/>
      <c r="G52" s="831"/>
      <c r="H52" s="1247"/>
      <c r="I52" s="1218"/>
      <c r="J52" s="1218"/>
      <c r="K52" s="1218"/>
      <c r="L52" s="906"/>
      <c r="N52" s="1613"/>
      <c r="O52" s="1613"/>
      <c r="P52" s="1613"/>
      <c r="Q52" s="1613"/>
      <c r="R52" s="1613"/>
      <c r="S52" s="1613"/>
      <c r="T52" s="1613"/>
      <c r="U52" s="1613"/>
      <c r="V52" s="1613"/>
      <c r="W52" s="1613"/>
      <c r="X52" s="1613"/>
    </row>
    <row r="53" spans="2:24" s="1236" customFormat="1" ht="33" customHeight="1" x14ac:dyDescent="0.35">
      <c r="C53" s="1880"/>
      <c r="D53" s="232"/>
      <c r="E53" s="1245"/>
      <c r="F53" s="832"/>
      <c r="G53" s="831"/>
      <c r="H53" s="1247"/>
      <c r="I53" s="1218"/>
      <c r="J53" s="1218"/>
      <c r="K53" s="1103"/>
      <c r="L53" s="1218"/>
      <c r="N53" s="1613"/>
      <c r="O53" s="1613"/>
      <c r="P53" s="1613"/>
      <c r="Q53" s="1613"/>
      <c r="R53" s="1613"/>
      <c r="S53" s="1613"/>
      <c r="T53" s="1613"/>
      <c r="U53" s="1613"/>
      <c r="V53" s="1613"/>
      <c r="W53" s="1613"/>
      <c r="X53" s="1613"/>
    </row>
    <row r="54" spans="2:24" s="1236" customFormat="1" ht="33" customHeight="1" x14ac:dyDescent="0.35">
      <c r="C54" s="1880"/>
      <c r="D54" s="232"/>
      <c r="E54" s="1245"/>
      <c r="F54" s="832"/>
      <c r="G54" s="831"/>
      <c r="H54" s="1247"/>
      <c r="I54" s="1218"/>
      <c r="J54" s="1218"/>
      <c r="K54" s="1218"/>
      <c r="L54" s="1218"/>
      <c r="N54" s="1613"/>
      <c r="O54" s="1613"/>
      <c r="P54" s="1613"/>
      <c r="Q54" s="1613"/>
      <c r="R54" s="1613"/>
      <c r="S54" s="1613"/>
      <c r="T54" s="1613"/>
      <c r="U54" s="1613"/>
      <c r="V54" s="1613"/>
      <c r="W54" s="1613"/>
      <c r="X54" s="1613"/>
    </row>
    <row r="55" spans="2:24" s="1236" customFormat="1" ht="33" customHeight="1" x14ac:dyDescent="0.35">
      <c r="C55" s="1880"/>
      <c r="D55" s="232"/>
      <c r="E55" s="1245"/>
      <c r="F55" s="832"/>
      <c r="G55" s="831"/>
      <c r="H55" s="1247"/>
      <c r="I55" s="1218"/>
      <c r="J55" s="1218"/>
      <c r="K55" s="1218"/>
      <c r="L55" s="1103"/>
      <c r="N55" s="1613"/>
      <c r="O55" s="1613"/>
      <c r="P55" s="1613"/>
      <c r="Q55" s="1613"/>
      <c r="R55" s="1613"/>
      <c r="S55" s="1613"/>
      <c r="T55" s="1613"/>
      <c r="U55" s="1613"/>
      <c r="V55" s="1613"/>
      <c r="W55" s="1613"/>
      <c r="X55" s="1613"/>
    </row>
    <row r="56" spans="2:24" s="1236" customFormat="1" ht="33" customHeight="1" x14ac:dyDescent="0.35">
      <c r="C56" s="1880"/>
      <c r="D56" s="232"/>
      <c r="E56" s="1245"/>
      <c r="F56" s="832"/>
      <c r="G56" s="831"/>
      <c r="H56" s="1247"/>
      <c r="I56" s="1218"/>
      <c r="J56" s="1218"/>
      <c r="K56" s="1218"/>
      <c r="L56" s="1218"/>
      <c r="N56" s="1613"/>
      <c r="O56" s="1613"/>
      <c r="P56" s="1613"/>
      <c r="Q56" s="1613"/>
      <c r="R56" s="1613"/>
      <c r="S56" s="1613"/>
      <c r="T56" s="1613"/>
      <c r="U56" s="1613"/>
      <c r="V56" s="1613"/>
      <c r="W56" s="1613"/>
      <c r="X56" s="1613"/>
    </row>
    <row r="57" spans="2:24" s="1236" customFormat="1" ht="30.75" customHeight="1" x14ac:dyDescent="0.35">
      <c r="C57" s="1880"/>
      <c r="D57" s="232"/>
      <c r="E57" s="1245"/>
      <c r="F57" s="832"/>
      <c r="G57" s="833"/>
      <c r="H57" s="1248"/>
      <c r="I57" s="831"/>
      <c r="J57" s="831"/>
      <c r="K57" s="1218"/>
      <c r="L57" s="1218"/>
      <c r="N57" s="1613"/>
      <c r="O57" s="1613"/>
      <c r="P57" s="1613"/>
      <c r="Q57" s="1613"/>
      <c r="R57" s="1613"/>
      <c r="S57" s="1613"/>
      <c r="T57" s="1613"/>
      <c r="U57" s="1613"/>
      <c r="V57" s="1613"/>
      <c r="W57" s="1613"/>
      <c r="X57" s="1613"/>
    </row>
    <row r="58" spans="2:24" s="1236" customFormat="1" x14ac:dyDescent="0.35">
      <c r="C58" s="1880" t="s">
        <v>1336</v>
      </c>
      <c r="D58" s="232"/>
      <c r="E58" s="1245"/>
      <c r="F58" s="832"/>
      <c r="G58" s="834"/>
      <c r="J58" s="835"/>
      <c r="K58" s="1218"/>
      <c r="L58" s="1218"/>
      <c r="N58" s="1613"/>
      <c r="O58" s="1613"/>
      <c r="P58" s="1613"/>
      <c r="Q58" s="1613"/>
      <c r="R58" s="1613"/>
      <c r="S58" s="1613"/>
      <c r="T58" s="1613"/>
      <c r="U58" s="1613"/>
      <c r="V58" s="1613"/>
      <c r="W58" s="1613"/>
      <c r="X58" s="1613"/>
    </row>
    <row r="59" spans="2:24" s="1236" customFormat="1" x14ac:dyDescent="0.35">
      <c r="C59" s="1880"/>
      <c r="D59" s="232"/>
      <c r="E59" s="1245"/>
      <c r="F59" s="832"/>
      <c r="G59" s="831"/>
      <c r="H59" s="831"/>
      <c r="I59" s="831"/>
      <c r="J59" s="831"/>
      <c r="K59" s="831"/>
      <c r="L59" s="1218"/>
      <c r="N59" s="1613"/>
      <c r="O59" s="1613"/>
      <c r="P59" s="1613"/>
      <c r="Q59" s="1613"/>
      <c r="R59" s="1613"/>
      <c r="S59" s="1613"/>
      <c r="T59" s="1613"/>
      <c r="U59" s="1613"/>
      <c r="V59" s="1613"/>
      <c r="W59" s="1613"/>
      <c r="X59" s="1613"/>
    </row>
    <row r="60" spans="2:24" s="1236" customFormat="1" x14ac:dyDescent="0.35">
      <c r="C60" s="1880"/>
      <c r="D60" s="232"/>
      <c r="E60" s="1245"/>
      <c r="F60" s="832"/>
      <c r="G60" s="831"/>
      <c r="H60" s="831"/>
      <c r="I60" s="831"/>
      <c r="J60" s="831"/>
      <c r="K60" s="835"/>
      <c r="L60" s="1218"/>
      <c r="N60" s="1613"/>
      <c r="O60" s="1613"/>
      <c r="P60" s="1613"/>
      <c r="Q60" s="1613"/>
      <c r="R60" s="1613"/>
      <c r="S60" s="1613"/>
      <c r="T60" s="1613"/>
      <c r="U60" s="1613"/>
      <c r="V60" s="1613"/>
      <c r="W60" s="1613"/>
      <c r="X60" s="1613"/>
    </row>
    <row r="61" spans="2:24" s="1236" customFormat="1" ht="48.75" customHeight="1" x14ac:dyDescent="0.35">
      <c r="C61" s="1065" t="s">
        <v>1337</v>
      </c>
      <c r="D61" s="1883"/>
      <c r="E61" s="1883"/>
      <c r="F61" s="832"/>
      <c r="G61" s="831"/>
      <c r="H61" s="831"/>
      <c r="I61" s="831"/>
      <c r="J61" s="831"/>
      <c r="K61" s="831"/>
      <c r="L61" s="831"/>
      <c r="N61" s="1613"/>
      <c r="O61" s="1613"/>
      <c r="P61" s="1613"/>
      <c r="Q61" s="1613"/>
      <c r="R61" s="1613"/>
      <c r="S61" s="1613"/>
      <c r="T61" s="1613"/>
      <c r="U61" s="1613"/>
      <c r="V61" s="1613"/>
      <c r="W61" s="1613"/>
      <c r="X61" s="1613"/>
    </row>
    <row r="62" spans="2:24" s="1236" customFormat="1" x14ac:dyDescent="0.35">
      <c r="C62" s="1065" t="s">
        <v>672</v>
      </c>
      <c r="D62" s="232"/>
      <c r="E62" s="1245"/>
      <c r="F62" s="832"/>
      <c r="G62" s="831"/>
      <c r="H62" s="831"/>
      <c r="I62" s="831"/>
      <c r="J62" s="831"/>
      <c r="K62" s="831"/>
      <c r="L62" s="835"/>
      <c r="N62" s="1613"/>
      <c r="O62" s="1613"/>
      <c r="P62" s="1613"/>
      <c r="Q62" s="1613"/>
      <c r="R62" s="1613"/>
      <c r="S62" s="1613"/>
      <c r="T62" s="1613"/>
      <c r="U62" s="1613"/>
      <c r="V62" s="1613"/>
      <c r="W62" s="1613"/>
      <c r="X62" s="1613"/>
    </row>
    <row r="63" spans="2:24" s="1236" customFormat="1" x14ac:dyDescent="0.35">
      <c r="B63" s="836"/>
      <c r="C63" s="836"/>
      <c r="D63" s="832"/>
      <c r="E63" s="832"/>
      <c r="F63" s="831"/>
      <c r="G63" s="831"/>
      <c r="H63" s="831"/>
      <c r="I63" s="831"/>
      <c r="J63" s="831"/>
      <c r="K63" s="831"/>
      <c r="L63" s="831"/>
      <c r="N63" s="1613"/>
      <c r="O63" s="1613"/>
      <c r="P63" s="1613"/>
      <c r="Q63" s="1613"/>
      <c r="R63" s="1613"/>
      <c r="S63" s="1613"/>
      <c r="T63" s="1613"/>
      <c r="U63" s="1613"/>
      <c r="V63" s="1613"/>
      <c r="W63" s="1613"/>
      <c r="X63" s="1613"/>
    </row>
    <row r="64" spans="2:24" s="1236" customFormat="1" x14ac:dyDescent="0.35">
      <c r="B64" s="1216"/>
      <c r="C64" s="1216"/>
      <c r="D64" s="1216"/>
      <c r="E64" s="1216"/>
      <c r="F64" s="829"/>
      <c r="G64" s="829"/>
      <c r="H64" s="829"/>
      <c r="I64" s="829"/>
      <c r="J64" s="829"/>
      <c r="K64" s="831"/>
      <c r="L64" s="831"/>
      <c r="N64" s="1613"/>
      <c r="O64" s="1613"/>
      <c r="P64" s="1613"/>
      <c r="Q64" s="1613"/>
      <c r="R64" s="1613"/>
      <c r="S64" s="1613"/>
      <c r="T64" s="1613"/>
      <c r="U64" s="1613"/>
      <c r="V64" s="1613"/>
      <c r="W64" s="1613"/>
      <c r="X64" s="1613"/>
    </row>
    <row r="65" spans="2:29" s="1236" customFormat="1" x14ac:dyDescent="0.35">
      <c r="B65" s="1216"/>
      <c r="C65" s="1216"/>
      <c r="D65" s="1216"/>
      <c r="E65" s="1216"/>
      <c r="F65" s="829"/>
      <c r="G65" s="829"/>
      <c r="H65" s="829"/>
      <c r="I65" s="829"/>
      <c r="J65" s="829"/>
      <c r="K65" s="831"/>
      <c r="L65" s="831"/>
      <c r="N65" s="1613"/>
      <c r="O65" s="1613"/>
      <c r="P65" s="1613"/>
      <c r="Q65" s="1613"/>
      <c r="R65" s="1613"/>
      <c r="S65" s="1613"/>
      <c r="T65" s="1613"/>
      <c r="U65" s="1613"/>
      <c r="V65" s="1613"/>
      <c r="W65" s="1613"/>
      <c r="X65" s="1613"/>
    </row>
    <row r="66" spans="2:29" s="1236" customFormat="1" x14ac:dyDescent="0.35">
      <c r="B66" s="1878"/>
      <c r="C66" s="1878"/>
      <c r="D66" s="1878"/>
      <c r="E66" s="1878"/>
      <c r="F66" s="1878"/>
      <c r="G66" s="1216"/>
      <c r="H66" s="829"/>
      <c r="I66" s="1249"/>
      <c r="J66" s="906"/>
      <c r="K66" s="829"/>
      <c r="L66" s="831"/>
      <c r="N66" s="1613"/>
      <c r="O66" s="1613"/>
      <c r="P66" s="1613"/>
      <c r="Q66" s="1613"/>
      <c r="R66" s="1613"/>
      <c r="S66" s="1613"/>
      <c r="T66" s="1613"/>
      <c r="U66" s="1613"/>
      <c r="V66" s="1613"/>
      <c r="W66" s="1613"/>
      <c r="X66" s="1613"/>
    </row>
    <row r="67" spans="2:29" s="1236" customFormat="1" x14ac:dyDescent="0.35">
      <c r="B67" s="1878"/>
      <c r="C67" s="1878"/>
      <c r="D67" s="1878"/>
      <c r="E67" s="1878"/>
      <c r="F67" s="1878"/>
      <c r="G67" s="1216"/>
      <c r="H67" s="837"/>
      <c r="I67" s="1250"/>
      <c r="J67" s="829"/>
      <c r="K67" s="829"/>
      <c r="L67" s="831"/>
      <c r="N67" s="1613"/>
      <c r="O67" s="1613"/>
      <c r="P67" s="1613"/>
      <c r="Q67" s="1613"/>
      <c r="R67" s="1613"/>
      <c r="S67" s="1613"/>
      <c r="T67" s="1613"/>
      <c r="U67" s="1613"/>
      <c r="V67" s="1613"/>
      <c r="W67" s="1613"/>
      <c r="X67" s="1613"/>
    </row>
    <row r="68" spans="2:29" s="1236" customFormat="1" x14ac:dyDescent="0.35">
      <c r="B68" s="1878"/>
      <c r="C68" s="1878"/>
      <c r="D68" s="1878"/>
      <c r="E68" s="1878"/>
      <c r="F68" s="1878"/>
      <c r="G68" s="1216"/>
      <c r="H68" s="838"/>
      <c r="I68" s="1249"/>
      <c r="J68" s="1216"/>
      <c r="K68" s="906"/>
      <c r="L68" s="829"/>
      <c r="N68" s="1613"/>
      <c r="O68" s="1613"/>
      <c r="P68" s="1613"/>
      <c r="Q68" s="1613"/>
      <c r="R68" s="1613"/>
      <c r="S68" s="1613"/>
      <c r="T68" s="1613"/>
      <c r="U68" s="1613"/>
      <c r="V68" s="1613"/>
      <c r="W68" s="1613"/>
      <c r="X68" s="1613"/>
    </row>
    <row r="69" spans="2:29" s="1236" customFormat="1" x14ac:dyDescent="0.35">
      <c r="B69" s="1878"/>
      <c r="C69" s="1878"/>
      <c r="D69" s="1878"/>
      <c r="E69" s="1878"/>
      <c r="F69" s="1878"/>
      <c r="G69" s="1216"/>
      <c r="H69" s="829"/>
      <c r="I69" s="829"/>
      <c r="J69" s="829"/>
      <c r="K69" s="829"/>
      <c r="L69" s="829"/>
      <c r="N69" s="1613"/>
      <c r="O69" s="1613"/>
      <c r="P69" s="1613"/>
      <c r="Q69" s="1613"/>
      <c r="R69" s="1613"/>
      <c r="S69" s="1613"/>
      <c r="T69" s="1613"/>
      <c r="U69" s="1613"/>
      <c r="V69" s="1613"/>
      <c r="W69" s="1613"/>
      <c r="X69" s="1613"/>
    </row>
    <row r="70" spans="2:29" s="1236" customFormat="1" x14ac:dyDescent="0.35">
      <c r="B70" s="1878"/>
      <c r="C70" s="1878"/>
      <c r="D70" s="1878"/>
      <c r="E70" s="1878"/>
      <c r="F70" s="1878"/>
      <c r="G70" s="1216"/>
      <c r="H70" s="829"/>
      <c r="I70" s="829"/>
      <c r="J70" s="829"/>
      <c r="K70" s="1216"/>
      <c r="L70" s="906"/>
      <c r="N70" s="1613"/>
      <c r="O70" s="1613"/>
      <c r="P70" s="1613"/>
      <c r="Q70" s="1613"/>
      <c r="R70" s="1613"/>
      <c r="S70" s="1613"/>
      <c r="T70" s="1613"/>
      <c r="U70" s="1613"/>
      <c r="V70" s="1613"/>
      <c r="W70" s="1613"/>
      <c r="X70" s="1613"/>
    </row>
    <row r="71" spans="2:29" s="1236" customFormat="1" x14ac:dyDescent="0.35">
      <c r="B71" s="1878"/>
      <c r="C71" s="1878"/>
      <c r="D71" s="1878"/>
      <c r="E71" s="1878"/>
      <c r="F71" s="1878"/>
      <c r="G71" s="1216"/>
      <c r="H71" s="829"/>
      <c r="I71" s="829"/>
      <c r="J71" s="829"/>
      <c r="K71" s="829"/>
      <c r="L71" s="829"/>
      <c r="N71" s="1613"/>
      <c r="O71" s="1613"/>
      <c r="P71" s="1613"/>
      <c r="Q71" s="1613"/>
      <c r="R71" s="1613"/>
      <c r="S71" s="1613"/>
      <c r="T71" s="1613"/>
      <c r="U71" s="1613"/>
      <c r="V71" s="1613"/>
      <c r="W71" s="1613"/>
      <c r="X71" s="1613"/>
    </row>
    <row r="72" spans="2:29" s="1251" customFormat="1" ht="13.9" customHeight="1" x14ac:dyDescent="0.3">
      <c r="B72" s="1879"/>
      <c r="C72" s="1879"/>
      <c r="D72" s="1879"/>
      <c r="E72" s="1879"/>
      <c r="F72" s="1879"/>
      <c r="G72" s="1217"/>
      <c r="H72" s="839"/>
      <c r="I72" s="839"/>
      <c r="J72" s="839"/>
      <c r="K72" s="829"/>
      <c r="L72" s="1216"/>
      <c r="N72" s="1642"/>
      <c r="O72" s="1642"/>
      <c r="P72" s="1642"/>
      <c r="Q72" s="1642"/>
      <c r="R72" s="1642"/>
      <c r="S72" s="1642"/>
      <c r="T72" s="1642"/>
      <c r="U72" s="1642"/>
      <c r="V72" s="1642"/>
      <c r="W72" s="1642"/>
      <c r="X72" s="1642"/>
    </row>
    <row r="73" spans="2:29" s="1251" customFormat="1" ht="13.9" customHeight="1" x14ac:dyDescent="0.3">
      <c r="K73" s="829"/>
      <c r="L73" s="829"/>
      <c r="N73" s="1642"/>
      <c r="O73" s="1642"/>
      <c r="P73" s="1642"/>
      <c r="Q73" s="1642"/>
      <c r="R73" s="1642"/>
      <c r="S73" s="1642"/>
      <c r="T73" s="1642"/>
      <c r="U73" s="1642"/>
      <c r="V73" s="1642"/>
      <c r="W73" s="1642"/>
      <c r="X73" s="1642"/>
    </row>
    <row r="74" spans="2:29" s="1251" customFormat="1" ht="13.9" customHeight="1" x14ac:dyDescent="0.3">
      <c r="K74" s="839"/>
      <c r="L74" s="829"/>
      <c r="N74" s="1642"/>
      <c r="O74" s="1642"/>
      <c r="P74" s="1642"/>
      <c r="Q74" s="1642"/>
      <c r="R74" s="1642"/>
      <c r="S74" s="1642"/>
      <c r="T74" s="1642"/>
      <c r="U74" s="1642"/>
      <c r="V74" s="1642"/>
      <c r="W74" s="1642"/>
      <c r="X74" s="1642"/>
    </row>
    <row r="75" spans="2:29" s="1251" customFormat="1" ht="13.9" customHeight="1" x14ac:dyDescent="0.3">
      <c r="L75" s="829"/>
      <c r="N75" s="1642"/>
      <c r="O75" s="1642"/>
      <c r="P75" s="1642"/>
      <c r="Q75" s="1642"/>
      <c r="R75" s="1642"/>
      <c r="S75" s="1642"/>
      <c r="T75" s="1642"/>
      <c r="U75" s="1642"/>
      <c r="V75" s="1642"/>
      <c r="W75" s="1642"/>
      <c r="X75" s="1642"/>
    </row>
    <row r="76" spans="2:29" s="1251" customFormat="1" ht="13.9" customHeight="1" x14ac:dyDescent="0.2">
      <c r="L76" s="839"/>
      <c r="N76" s="1642"/>
      <c r="O76" s="1642"/>
      <c r="P76" s="1642"/>
      <c r="Q76" s="1642"/>
      <c r="R76" s="1642"/>
      <c r="S76" s="1642"/>
      <c r="T76" s="1642"/>
      <c r="U76" s="1642"/>
      <c r="V76" s="1642"/>
      <c r="W76" s="1642"/>
      <c r="X76" s="1642"/>
    </row>
    <row r="77" spans="2:29" s="1251" customFormat="1" ht="13.9" customHeight="1" x14ac:dyDescent="0.2">
      <c r="N77" s="1642"/>
      <c r="O77" s="1642"/>
      <c r="P77" s="1642"/>
      <c r="Q77" s="1642"/>
      <c r="R77" s="1642"/>
      <c r="S77" s="1642"/>
      <c r="T77" s="1642"/>
      <c r="U77" s="1642"/>
      <c r="V77" s="1642"/>
      <c r="W77" s="1642"/>
      <c r="X77" s="1642"/>
    </row>
    <row r="78" spans="2:29" s="1251" customFormat="1" ht="13.9" customHeight="1" x14ac:dyDescent="0.2">
      <c r="N78" s="1642"/>
      <c r="O78" s="1642"/>
      <c r="P78" s="1642"/>
      <c r="Q78" s="1642"/>
      <c r="R78" s="1642"/>
      <c r="S78" s="1642"/>
      <c r="T78" s="1642"/>
      <c r="U78" s="1642"/>
      <c r="V78" s="1642"/>
      <c r="W78" s="1642"/>
      <c r="X78" s="1642"/>
      <c r="Y78" s="1252"/>
    </row>
    <row r="79" spans="2:29" s="1251" customFormat="1" ht="13.9" customHeight="1" x14ac:dyDescent="0.2">
      <c r="D79" s="1253"/>
      <c r="E79" s="1253"/>
      <c r="N79" s="1642"/>
      <c r="O79" s="1642"/>
      <c r="P79" s="1642"/>
      <c r="Q79" s="1642"/>
      <c r="R79" s="1642"/>
      <c r="S79" s="1642"/>
      <c r="T79" s="1642"/>
      <c r="U79" s="1642"/>
      <c r="V79" s="1642"/>
      <c r="W79" s="1642"/>
      <c r="X79" s="1642"/>
      <c r="Y79" s="1252"/>
      <c r="Z79" s="1254"/>
      <c r="AA79" s="1255"/>
      <c r="AB79" s="1254"/>
      <c r="AC79" s="1256"/>
    </row>
    <row r="80" spans="2:29" s="1251" customFormat="1" ht="13.9" customHeight="1" x14ac:dyDescent="0.2">
      <c r="N80" s="1642"/>
      <c r="O80" s="1642"/>
      <c r="P80" s="1642"/>
      <c r="Q80" s="1642"/>
      <c r="R80" s="1642"/>
      <c r="S80" s="1642"/>
      <c r="T80" s="1642"/>
      <c r="U80" s="1642"/>
      <c r="V80" s="1642"/>
      <c r="W80" s="1642"/>
      <c r="X80" s="1642"/>
      <c r="Y80" s="1252"/>
      <c r="Z80" s="1254"/>
      <c r="AA80" s="1254"/>
      <c r="AB80" s="1254"/>
      <c r="AC80" s="1257"/>
    </row>
    <row r="81" spans="14:29" s="1251" customFormat="1" ht="13.9" customHeight="1" x14ac:dyDescent="0.2">
      <c r="N81" s="1642"/>
      <c r="O81" s="1642"/>
      <c r="P81" s="1642"/>
      <c r="Q81" s="1642"/>
      <c r="R81" s="1642"/>
      <c r="S81" s="1642"/>
      <c r="T81" s="1642"/>
      <c r="U81" s="1642"/>
      <c r="V81" s="1642"/>
      <c r="W81" s="1642"/>
      <c r="X81" s="1642"/>
      <c r="Y81" s="1258"/>
      <c r="Z81" s="1257"/>
      <c r="AA81" s="1257"/>
      <c r="AB81" s="1257"/>
      <c r="AC81" s="1256"/>
    </row>
    <row r="82" spans="14:29" s="1251" customFormat="1" ht="13.9" customHeight="1" x14ac:dyDescent="0.2">
      <c r="N82" s="1642"/>
      <c r="O82" s="1642"/>
      <c r="P82" s="1642"/>
      <c r="Q82" s="1642"/>
      <c r="R82" s="1642"/>
      <c r="S82" s="1642"/>
      <c r="T82" s="1642"/>
      <c r="U82" s="1642"/>
      <c r="V82" s="1642"/>
      <c r="W82" s="1642"/>
      <c r="X82" s="1642"/>
    </row>
    <row r="83" spans="14:29" s="1251" customFormat="1" ht="13.9" customHeight="1" x14ac:dyDescent="0.2">
      <c r="N83" s="1642"/>
      <c r="O83" s="1642"/>
      <c r="P83" s="1642"/>
      <c r="Q83" s="1642"/>
      <c r="R83" s="1642"/>
      <c r="S83" s="1642"/>
      <c r="T83" s="1642"/>
      <c r="U83" s="1642"/>
      <c r="V83" s="1642"/>
      <c r="W83" s="1642"/>
      <c r="X83" s="1642"/>
      <c r="Y83" s="1259"/>
    </row>
    <row r="84" spans="14:29" s="1251" customFormat="1" ht="13.9" customHeight="1" x14ac:dyDescent="0.2">
      <c r="N84" s="1642"/>
      <c r="O84" s="1642"/>
      <c r="P84" s="1642"/>
      <c r="Q84" s="1642"/>
      <c r="R84" s="1642"/>
      <c r="S84" s="1642"/>
      <c r="T84" s="1642"/>
      <c r="U84" s="1642"/>
      <c r="V84" s="1642"/>
      <c r="W84" s="1642"/>
      <c r="X84" s="1642"/>
      <c r="Z84" s="1255"/>
      <c r="AA84" s="1255"/>
      <c r="AB84" s="1255"/>
      <c r="AC84" s="1257"/>
    </row>
    <row r="85" spans="14:29" s="1251" customFormat="1" ht="13.9" customHeight="1" x14ac:dyDescent="0.2">
      <c r="N85" s="1642"/>
      <c r="O85" s="1642"/>
      <c r="P85" s="1642"/>
      <c r="Q85" s="1642"/>
      <c r="R85" s="1642"/>
      <c r="S85" s="1642"/>
      <c r="T85" s="1642"/>
      <c r="U85" s="1642"/>
      <c r="V85" s="1642"/>
      <c r="W85" s="1642"/>
      <c r="X85" s="1642"/>
      <c r="Z85" s="1254"/>
      <c r="AA85" s="1257"/>
      <c r="AB85" s="1254"/>
      <c r="AC85" s="1256"/>
    </row>
    <row r="86" spans="14:29" s="1251" customFormat="1" ht="13.9" customHeight="1" x14ac:dyDescent="0.2">
      <c r="N86" s="1642"/>
      <c r="O86" s="1642"/>
      <c r="P86" s="1642"/>
      <c r="Q86" s="1642"/>
      <c r="R86" s="1642"/>
      <c r="S86" s="1642"/>
      <c r="T86" s="1642"/>
      <c r="U86" s="1642"/>
      <c r="V86" s="1642"/>
      <c r="W86" s="1642"/>
      <c r="X86" s="1642"/>
      <c r="Z86" s="1254"/>
      <c r="AA86" s="1254"/>
      <c r="AB86" s="1254"/>
      <c r="AC86" s="1257"/>
    </row>
    <row r="87" spans="14:29" s="1251" customFormat="1" ht="13.9" customHeight="1" x14ac:dyDescent="0.2">
      <c r="N87" s="1642"/>
      <c r="O87" s="1642"/>
      <c r="P87" s="1642"/>
      <c r="Q87" s="1642"/>
      <c r="R87" s="1642"/>
      <c r="S87" s="1642"/>
      <c r="T87" s="1642"/>
      <c r="U87" s="1642"/>
      <c r="V87" s="1642"/>
      <c r="W87" s="1642"/>
      <c r="X87" s="1642"/>
      <c r="Z87" s="1254"/>
      <c r="AA87" s="1254"/>
      <c r="AB87" s="1254"/>
      <c r="AC87" s="1257"/>
    </row>
    <row r="88" spans="14:29" s="1251" customFormat="1" ht="13.9" customHeight="1" x14ac:dyDescent="0.2">
      <c r="N88" s="1642"/>
      <c r="O88" s="1642"/>
      <c r="P88" s="1642"/>
      <c r="Q88" s="1642"/>
      <c r="R88" s="1642"/>
      <c r="S88" s="1642"/>
      <c r="T88" s="1642"/>
      <c r="U88" s="1642"/>
      <c r="V88" s="1642"/>
      <c r="W88" s="1642"/>
      <c r="X88" s="1642"/>
      <c r="Z88" s="1253"/>
      <c r="AA88" s="1257"/>
      <c r="AB88" s="1253"/>
      <c r="AC88" s="1256"/>
    </row>
    <row r="89" spans="14:29" s="1251" customFormat="1" ht="13.9" customHeight="1" x14ac:dyDescent="0.2">
      <c r="N89" s="1642"/>
      <c r="O89" s="1642"/>
      <c r="P89" s="1642"/>
      <c r="Q89" s="1642"/>
      <c r="R89" s="1642"/>
      <c r="S89" s="1642"/>
      <c r="T89" s="1642"/>
      <c r="U89" s="1642"/>
      <c r="V89" s="1642"/>
      <c r="W89" s="1642"/>
      <c r="X89" s="1642"/>
      <c r="Z89" s="1253"/>
      <c r="AA89" s="1257"/>
      <c r="AB89" s="1253"/>
      <c r="AC89" s="1256"/>
    </row>
    <row r="90" spans="14:29" s="1251" customFormat="1" ht="13.9" customHeight="1" x14ac:dyDescent="0.2">
      <c r="N90" s="1642"/>
      <c r="O90" s="1642"/>
      <c r="P90" s="1642"/>
      <c r="Q90" s="1642"/>
      <c r="R90" s="1642"/>
      <c r="S90" s="1642"/>
      <c r="T90" s="1642"/>
      <c r="U90" s="1642"/>
      <c r="V90" s="1642"/>
      <c r="W90" s="1642"/>
      <c r="X90" s="1642"/>
    </row>
    <row r="91" spans="14:29" s="1251" customFormat="1" ht="13.9" customHeight="1" x14ac:dyDescent="0.2">
      <c r="N91" s="1642"/>
      <c r="O91" s="1642"/>
      <c r="P91" s="1642"/>
      <c r="Q91" s="1642"/>
      <c r="R91" s="1642"/>
      <c r="S91" s="1642"/>
      <c r="T91" s="1642"/>
      <c r="U91" s="1642"/>
      <c r="V91" s="1642"/>
      <c r="W91" s="1642"/>
      <c r="X91" s="1642"/>
    </row>
    <row r="92" spans="14:29" s="1251" customFormat="1" ht="13.9" customHeight="1" x14ac:dyDescent="0.2">
      <c r="N92" s="1642"/>
      <c r="O92" s="1642"/>
      <c r="P92" s="1642"/>
      <c r="Q92" s="1642"/>
      <c r="R92" s="1642"/>
      <c r="S92" s="1642"/>
      <c r="T92" s="1642"/>
      <c r="U92" s="1642"/>
      <c r="V92" s="1642"/>
      <c r="W92" s="1642"/>
      <c r="X92" s="1642"/>
    </row>
    <row r="93" spans="14:29" s="1251" customFormat="1" ht="13.9" customHeight="1" x14ac:dyDescent="0.25">
      <c r="N93" s="1642"/>
      <c r="O93" s="1642"/>
      <c r="P93" s="1642"/>
      <c r="Q93" s="1642"/>
      <c r="R93" s="1642"/>
      <c r="S93" s="1642"/>
      <c r="T93" s="1642"/>
      <c r="U93" s="1642"/>
      <c r="V93" s="1642"/>
      <c r="W93" s="1642"/>
      <c r="X93" s="1642"/>
      <c r="Z93" s="374"/>
      <c r="AA93" s="374"/>
      <c r="AB93" s="374"/>
      <c r="AC93" s="374"/>
    </row>
    <row r="94" spans="14:29" s="1251" customFormat="1" ht="13.9" customHeight="1" x14ac:dyDescent="0.25">
      <c r="N94" s="1642"/>
      <c r="O94" s="1642"/>
      <c r="P94" s="1642"/>
      <c r="Q94" s="1642"/>
      <c r="R94" s="1642"/>
      <c r="S94" s="1642"/>
      <c r="T94" s="1642"/>
      <c r="U94" s="1642"/>
      <c r="V94" s="1642"/>
      <c r="W94" s="1642"/>
      <c r="X94" s="1642"/>
      <c r="Z94" s="374"/>
      <c r="AA94" s="374"/>
      <c r="AB94" s="374"/>
      <c r="AC94" s="374"/>
    </row>
    <row r="95" spans="14:29" s="1251" customFormat="1" ht="13.9" customHeight="1" x14ac:dyDescent="0.25">
      <c r="N95" s="1642"/>
      <c r="O95" s="1642"/>
      <c r="P95" s="1642"/>
      <c r="Q95" s="1642"/>
      <c r="R95" s="1642"/>
      <c r="S95" s="1642"/>
      <c r="T95" s="1642"/>
      <c r="U95" s="1642"/>
      <c r="V95" s="1642"/>
      <c r="W95" s="1642"/>
      <c r="X95" s="1642"/>
      <c r="Z95" s="374"/>
      <c r="AA95" s="374"/>
      <c r="AB95" s="374"/>
      <c r="AC95" s="374"/>
    </row>
    <row r="96" spans="14:29" s="1251" customFormat="1" ht="13.9" customHeight="1" x14ac:dyDescent="0.2">
      <c r="N96" s="1642"/>
      <c r="O96" s="1642"/>
      <c r="P96" s="1642"/>
      <c r="Q96" s="1642"/>
      <c r="R96" s="1642"/>
      <c r="S96" s="1642"/>
      <c r="T96" s="1642"/>
      <c r="U96" s="1642"/>
      <c r="V96" s="1642"/>
      <c r="W96" s="1642"/>
      <c r="X96" s="1642"/>
    </row>
    <row r="97" spans="14:24" s="1251" customFormat="1" ht="13.9" customHeight="1" x14ac:dyDescent="0.2">
      <c r="N97" s="1642"/>
      <c r="O97" s="1642"/>
      <c r="P97" s="1642"/>
      <c r="Q97" s="1642"/>
      <c r="R97" s="1642"/>
      <c r="S97" s="1642"/>
      <c r="T97" s="1642"/>
      <c r="U97" s="1642"/>
      <c r="V97" s="1642"/>
      <c r="W97" s="1642"/>
      <c r="X97" s="1642"/>
    </row>
    <row r="98" spans="14:24" s="1251" customFormat="1" ht="13.9" customHeight="1" x14ac:dyDescent="0.2">
      <c r="N98" s="1642"/>
      <c r="O98" s="1642"/>
      <c r="P98" s="1642"/>
      <c r="Q98" s="1642"/>
      <c r="R98" s="1642"/>
      <c r="S98" s="1642"/>
      <c r="T98" s="1642"/>
      <c r="U98" s="1642"/>
      <c r="V98" s="1642"/>
      <c r="W98" s="1642"/>
      <c r="X98" s="1642"/>
    </row>
    <row r="99" spans="14:24" s="1251" customFormat="1" ht="13.9" customHeight="1" x14ac:dyDescent="0.2">
      <c r="N99" s="1642"/>
      <c r="O99" s="1642"/>
      <c r="P99" s="1642"/>
      <c r="Q99" s="1642"/>
      <c r="R99" s="1642"/>
      <c r="S99" s="1642"/>
      <c r="T99" s="1642"/>
      <c r="U99" s="1642"/>
      <c r="V99" s="1642"/>
      <c r="W99" s="1642"/>
      <c r="X99" s="1642"/>
    </row>
    <row r="100" spans="14:24" s="1251" customFormat="1" ht="13.9" customHeight="1" x14ac:dyDescent="0.2">
      <c r="N100" s="1642"/>
      <c r="O100" s="1642"/>
      <c r="P100" s="1642"/>
      <c r="Q100" s="1642"/>
      <c r="R100" s="1642"/>
      <c r="S100" s="1642"/>
      <c r="T100" s="1642"/>
      <c r="U100" s="1642"/>
      <c r="V100" s="1642"/>
      <c r="W100" s="1642"/>
      <c r="X100" s="1642"/>
    </row>
    <row r="101" spans="14:24" s="1251" customFormat="1" ht="13.9" customHeight="1" x14ac:dyDescent="0.2">
      <c r="N101" s="1642"/>
      <c r="O101" s="1642"/>
      <c r="P101" s="1642"/>
      <c r="Q101" s="1642"/>
      <c r="R101" s="1642"/>
      <c r="S101" s="1642"/>
      <c r="T101" s="1642"/>
      <c r="U101" s="1642"/>
      <c r="V101" s="1642"/>
      <c r="W101" s="1642"/>
      <c r="X101" s="1642"/>
    </row>
    <row r="102" spans="14:24" s="1251" customFormat="1" ht="13.9" customHeight="1" x14ac:dyDescent="0.2">
      <c r="N102" s="1642"/>
      <c r="O102" s="1642"/>
      <c r="P102" s="1642"/>
      <c r="Q102" s="1642"/>
      <c r="R102" s="1642"/>
      <c r="S102" s="1642"/>
      <c r="T102" s="1642"/>
      <c r="U102" s="1642"/>
      <c r="V102" s="1642"/>
      <c r="W102" s="1642"/>
      <c r="X102" s="1642"/>
    </row>
    <row r="103" spans="14:24" s="1251" customFormat="1" ht="13.9" customHeight="1" x14ac:dyDescent="0.2">
      <c r="N103" s="1642"/>
      <c r="O103" s="1642"/>
      <c r="P103" s="1642"/>
      <c r="Q103" s="1642"/>
      <c r="R103" s="1642"/>
      <c r="S103" s="1642"/>
      <c r="T103" s="1642"/>
      <c r="U103" s="1642"/>
      <c r="V103" s="1642"/>
      <c r="W103" s="1642"/>
      <c r="X103" s="1642"/>
    </row>
    <row r="104" spans="14:24" s="1251" customFormat="1" ht="13.9" customHeight="1" x14ac:dyDescent="0.2">
      <c r="N104" s="1642"/>
      <c r="O104" s="1642"/>
      <c r="P104" s="1642"/>
      <c r="Q104" s="1642"/>
      <c r="R104" s="1642"/>
      <c r="S104" s="1642"/>
      <c r="T104" s="1642"/>
      <c r="U104" s="1642"/>
      <c r="V104" s="1642"/>
      <c r="W104" s="1642"/>
      <c r="X104" s="1642"/>
    </row>
    <row r="105" spans="14:24" s="1251" customFormat="1" ht="13.9" customHeight="1" x14ac:dyDescent="0.2">
      <c r="N105" s="1642"/>
      <c r="O105" s="1642"/>
      <c r="P105" s="1642"/>
      <c r="Q105" s="1642"/>
      <c r="R105" s="1642"/>
      <c r="S105" s="1642"/>
      <c r="T105" s="1642"/>
      <c r="U105" s="1642"/>
      <c r="V105" s="1642"/>
      <c r="W105" s="1642"/>
      <c r="X105" s="1642"/>
    </row>
    <row r="106" spans="14:24" s="1251" customFormat="1" ht="13.9" customHeight="1" x14ac:dyDescent="0.2">
      <c r="N106" s="1642"/>
      <c r="O106" s="1642"/>
      <c r="P106" s="1642"/>
      <c r="Q106" s="1642"/>
      <c r="R106" s="1642"/>
      <c r="S106" s="1642"/>
      <c r="T106" s="1642"/>
      <c r="U106" s="1642"/>
      <c r="V106" s="1642"/>
      <c r="W106" s="1642"/>
      <c r="X106" s="1642"/>
    </row>
    <row r="107" spans="14:24" s="1251" customFormat="1" ht="13.9" customHeight="1" x14ac:dyDescent="0.2">
      <c r="N107" s="1642"/>
      <c r="O107" s="1642"/>
      <c r="P107" s="1642"/>
      <c r="Q107" s="1642"/>
      <c r="R107" s="1642"/>
      <c r="S107" s="1642"/>
      <c r="T107" s="1642"/>
      <c r="U107" s="1642"/>
      <c r="V107" s="1642"/>
      <c r="W107" s="1642"/>
      <c r="X107" s="1642"/>
    </row>
    <row r="108" spans="14:24" s="1251" customFormat="1" ht="13.9" customHeight="1" x14ac:dyDescent="0.2">
      <c r="N108" s="1642"/>
      <c r="O108" s="1642"/>
      <c r="P108" s="1642"/>
      <c r="Q108" s="1642"/>
      <c r="R108" s="1642"/>
      <c r="S108" s="1642"/>
      <c r="T108" s="1642"/>
      <c r="U108" s="1642"/>
      <c r="V108" s="1642"/>
      <c r="W108" s="1642"/>
      <c r="X108" s="1642"/>
    </row>
    <row r="109" spans="14:24" s="1251" customFormat="1" ht="13.9" customHeight="1" x14ac:dyDescent="0.2">
      <c r="N109" s="1642"/>
      <c r="O109" s="1642"/>
      <c r="P109" s="1642"/>
      <c r="Q109" s="1642"/>
      <c r="R109" s="1642"/>
      <c r="S109" s="1642"/>
      <c r="T109" s="1642"/>
      <c r="U109" s="1642"/>
      <c r="V109" s="1642"/>
      <c r="W109" s="1642"/>
      <c r="X109" s="1642"/>
    </row>
    <row r="110" spans="14:24" s="1251" customFormat="1" ht="13.9" customHeight="1" x14ac:dyDescent="0.2">
      <c r="N110" s="1642"/>
      <c r="O110" s="1642"/>
      <c r="P110" s="1642"/>
      <c r="Q110" s="1642"/>
      <c r="R110" s="1642"/>
      <c r="S110" s="1642"/>
      <c r="T110" s="1642"/>
      <c r="U110" s="1642"/>
      <c r="V110" s="1642"/>
      <c r="W110" s="1642"/>
      <c r="X110" s="1642"/>
    </row>
    <row r="111" spans="14:24" s="1251" customFormat="1" ht="13.9" customHeight="1" x14ac:dyDescent="0.2">
      <c r="N111" s="1642"/>
      <c r="O111" s="1642"/>
      <c r="P111" s="1642"/>
      <c r="Q111" s="1642"/>
      <c r="R111" s="1642"/>
      <c r="S111" s="1642"/>
      <c r="T111" s="1642"/>
      <c r="U111" s="1642"/>
      <c r="V111" s="1642"/>
      <c r="W111" s="1642"/>
      <c r="X111" s="1642"/>
    </row>
    <row r="112" spans="14:24" s="1251" customFormat="1" ht="13.9" customHeight="1" x14ac:dyDescent="0.2">
      <c r="N112" s="1642"/>
      <c r="O112" s="1642"/>
      <c r="P112" s="1642"/>
      <c r="Q112" s="1642"/>
      <c r="R112" s="1642"/>
      <c r="S112" s="1642"/>
      <c r="T112" s="1642"/>
      <c r="U112" s="1642"/>
      <c r="V112" s="1642"/>
      <c r="W112" s="1642"/>
      <c r="X112" s="1642"/>
    </row>
    <row r="113" spans="14:24" s="1251" customFormat="1" ht="13.9" customHeight="1" x14ac:dyDescent="0.2">
      <c r="N113" s="1642"/>
      <c r="O113" s="1642"/>
      <c r="P113" s="1642"/>
      <c r="Q113" s="1642"/>
      <c r="R113" s="1642"/>
      <c r="S113" s="1642"/>
      <c r="T113" s="1642"/>
      <c r="U113" s="1642"/>
      <c r="V113" s="1642"/>
      <c r="W113" s="1642"/>
      <c r="X113" s="1642"/>
    </row>
    <row r="114" spans="14:24" s="1251" customFormat="1" ht="13.9" customHeight="1" x14ac:dyDescent="0.2">
      <c r="N114" s="1642"/>
      <c r="O114" s="1642"/>
      <c r="P114" s="1642"/>
      <c r="Q114" s="1642"/>
      <c r="R114" s="1642"/>
      <c r="S114" s="1642"/>
      <c r="T114" s="1642"/>
      <c r="U114" s="1642"/>
      <c r="V114" s="1642"/>
      <c r="W114" s="1642"/>
      <c r="X114" s="1642"/>
    </row>
    <row r="115" spans="14:24" s="1251" customFormat="1" ht="13.9" customHeight="1" x14ac:dyDescent="0.2">
      <c r="N115" s="1642"/>
      <c r="O115" s="1642"/>
      <c r="P115" s="1642"/>
      <c r="Q115" s="1642"/>
      <c r="R115" s="1642"/>
      <c r="S115" s="1642"/>
      <c r="T115" s="1642"/>
      <c r="U115" s="1642"/>
      <c r="V115" s="1642"/>
      <c r="W115" s="1642"/>
      <c r="X115" s="1642"/>
    </row>
    <row r="116" spans="14:24" s="1251" customFormat="1" ht="13.9" customHeight="1" x14ac:dyDescent="0.2">
      <c r="N116" s="1642"/>
      <c r="O116" s="1642"/>
      <c r="P116" s="1642"/>
      <c r="Q116" s="1642"/>
      <c r="R116" s="1642"/>
      <c r="S116" s="1642"/>
      <c r="T116" s="1642"/>
      <c r="U116" s="1642"/>
      <c r="V116" s="1642"/>
      <c r="W116" s="1642"/>
      <c r="X116" s="1642"/>
    </row>
    <row r="117" spans="14:24" s="1251" customFormat="1" ht="13.9" customHeight="1" x14ac:dyDescent="0.2">
      <c r="N117" s="1642"/>
      <c r="O117" s="1642"/>
      <c r="P117" s="1642"/>
      <c r="Q117" s="1642"/>
      <c r="R117" s="1642"/>
      <c r="S117" s="1642"/>
      <c r="T117" s="1642"/>
      <c r="U117" s="1642"/>
      <c r="V117" s="1642"/>
      <c r="W117" s="1642"/>
      <c r="X117" s="1642"/>
    </row>
    <row r="118" spans="14:24" s="1251" customFormat="1" ht="13.9" customHeight="1" x14ac:dyDescent="0.2">
      <c r="N118" s="1642"/>
      <c r="O118" s="1642"/>
      <c r="P118" s="1642"/>
      <c r="Q118" s="1642"/>
      <c r="R118" s="1642"/>
      <c r="S118" s="1642"/>
      <c r="T118" s="1642"/>
      <c r="U118" s="1642"/>
      <c r="V118" s="1642"/>
      <c r="W118" s="1642"/>
      <c r="X118" s="1642"/>
    </row>
    <row r="119" spans="14:24" s="1251" customFormat="1" ht="13.9" customHeight="1" x14ac:dyDescent="0.2">
      <c r="N119" s="1642"/>
      <c r="O119" s="1642"/>
      <c r="P119" s="1642"/>
      <c r="Q119" s="1642"/>
      <c r="R119" s="1642"/>
      <c r="S119" s="1642"/>
      <c r="T119" s="1642"/>
      <c r="U119" s="1642"/>
      <c r="V119" s="1642"/>
      <c r="W119" s="1642"/>
      <c r="X119" s="1642"/>
    </row>
    <row r="120" spans="14:24" s="1251" customFormat="1" ht="13.9" customHeight="1" x14ac:dyDescent="0.2">
      <c r="N120" s="1642"/>
      <c r="O120" s="1642"/>
      <c r="P120" s="1642"/>
      <c r="Q120" s="1642"/>
      <c r="R120" s="1642"/>
      <c r="S120" s="1642"/>
      <c r="T120" s="1642"/>
      <c r="U120" s="1642"/>
      <c r="V120" s="1642"/>
      <c r="W120" s="1642"/>
      <c r="X120" s="1642"/>
    </row>
    <row r="121" spans="14:24" s="1251" customFormat="1" ht="13.9" customHeight="1" x14ac:dyDescent="0.2">
      <c r="N121" s="1642"/>
      <c r="O121" s="1642"/>
      <c r="P121" s="1642"/>
      <c r="Q121" s="1642"/>
      <c r="R121" s="1642"/>
      <c r="S121" s="1642"/>
      <c r="T121" s="1642"/>
      <c r="U121" s="1642"/>
      <c r="V121" s="1642"/>
      <c r="W121" s="1642"/>
      <c r="X121" s="1642"/>
    </row>
    <row r="122" spans="14:24" s="1251" customFormat="1" ht="13.9" customHeight="1" x14ac:dyDescent="0.2">
      <c r="N122" s="1642"/>
      <c r="O122" s="1642"/>
      <c r="P122" s="1642"/>
      <c r="Q122" s="1642"/>
      <c r="R122" s="1642"/>
      <c r="S122" s="1642"/>
      <c r="T122" s="1642"/>
      <c r="U122" s="1642"/>
      <c r="V122" s="1642"/>
      <c r="W122" s="1642"/>
      <c r="X122" s="1642"/>
    </row>
    <row r="123" spans="14:24" s="1251" customFormat="1" ht="13.9" customHeight="1" x14ac:dyDescent="0.2">
      <c r="N123" s="1642"/>
      <c r="O123" s="1642"/>
      <c r="P123" s="1642"/>
      <c r="Q123" s="1642"/>
      <c r="R123" s="1642"/>
      <c r="S123" s="1642"/>
      <c r="T123" s="1642"/>
      <c r="U123" s="1642"/>
      <c r="V123" s="1642"/>
      <c r="W123" s="1642"/>
      <c r="X123" s="1642"/>
    </row>
    <row r="124" spans="14:24" s="1251" customFormat="1" ht="13.9" customHeight="1" x14ac:dyDescent="0.2">
      <c r="N124" s="1642"/>
      <c r="O124" s="1642"/>
      <c r="P124" s="1642"/>
      <c r="Q124" s="1642"/>
      <c r="R124" s="1642"/>
      <c r="S124" s="1642"/>
      <c r="T124" s="1642"/>
      <c r="U124" s="1642"/>
      <c r="V124" s="1642"/>
      <c r="W124" s="1642"/>
      <c r="X124" s="1642"/>
    </row>
    <row r="125" spans="14:24" s="1251" customFormat="1" ht="13.9" customHeight="1" x14ac:dyDescent="0.2">
      <c r="N125" s="1642"/>
      <c r="O125" s="1642"/>
      <c r="P125" s="1642"/>
      <c r="Q125" s="1642"/>
      <c r="R125" s="1642"/>
      <c r="S125" s="1642"/>
      <c r="T125" s="1642"/>
      <c r="U125" s="1642"/>
      <c r="V125" s="1642"/>
      <c r="W125" s="1642"/>
      <c r="X125" s="1642"/>
    </row>
    <row r="126" spans="14:24" s="1251" customFormat="1" ht="13.9" customHeight="1" x14ac:dyDescent="0.2">
      <c r="N126" s="1642"/>
      <c r="O126" s="1642"/>
      <c r="P126" s="1642"/>
      <c r="Q126" s="1642"/>
      <c r="R126" s="1642"/>
      <c r="S126" s="1642"/>
      <c r="T126" s="1642"/>
      <c r="U126" s="1642"/>
      <c r="V126" s="1642"/>
      <c r="W126" s="1642"/>
      <c r="X126" s="1642"/>
    </row>
    <row r="127" spans="14:24" s="1251" customFormat="1" ht="13.9" customHeight="1" x14ac:dyDescent="0.2">
      <c r="N127" s="1642"/>
      <c r="O127" s="1642"/>
      <c r="P127" s="1642"/>
      <c r="Q127" s="1642"/>
      <c r="R127" s="1642"/>
      <c r="S127" s="1642"/>
      <c r="T127" s="1642"/>
      <c r="U127" s="1642"/>
      <c r="V127" s="1642"/>
      <c r="W127" s="1642"/>
      <c r="X127" s="1642"/>
    </row>
    <row r="128" spans="14:24" s="1251" customFormat="1" ht="13.9" customHeight="1" x14ac:dyDescent="0.2">
      <c r="N128" s="1642"/>
      <c r="O128" s="1642"/>
      <c r="P128" s="1642"/>
      <c r="Q128" s="1642"/>
      <c r="R128" s="1642"/>
      <c r="S128" s="1642"/>
      <c r="T128" s="1642"/>
      <c r="U128" s="1642"/>
      <c r="V128" s="1642"/>
      <c r="W128" s="1642"/>
      <c r="X128" s="1642"/>
    </row>
    <row r="129" spans="14:24" s="1251" customFormat="1" ht="13.9" customHeight="1" x14ac:dyDescent="0.2">
      <c r="N129" s="1642"/>
      <c r="O129" s="1642"/>
      <c r="P129" s="1642"/>
      <c r="Q129" s="1642"/>
      <c r="R129" s="1642"/>
      <c r="S129" s="1642"/>
      <c r="T129" s="1642"/>
      <c r="U129" s="1642"/>
      <c r="V129" s="1642"/>
      <c r="W129" s="1642"/>
      <c r="X129" s="1642"/>
    </row>
    <row r="130" spans="14:24" s="1251" customFormat="1" ht="13.9" customHeight="1" x14ac:dyDescent="0.2">
      <c r="N130" s="1642"/>
      <c r="O130" s="1642"/>
      <c r="P130" s="1642"/>
      <c r="Q130" s="1642"/>
      <c r="R130" s="1642"/>
      <c r="S130" s="1642"/>
      <c r="T130" s="1642"/>
      <c r="U130" s="1642"/>
      <c r="V130" s="1642"/>
      <c r="W130" s="1642"/>
      <c r="X130" s="1642"/>
    </row>
    <row r="131" spans="14:24" s="1251" customFormat="1" ht="13.9" customHeight="1" x14ac:dyDescent="0.2">
      <c r="N131" s="1642"/>
      <c r="O131" s="1642"/>
      <c r="P131" s="1642"/>
      <c r="Q131" s="1642"/>
      <c r="R131" s="1642"/>
      <c r="S131" s="1642"/>
      <c r="T131" s="1642"/>
      <c r="U131" s="1642"/>
      <c r="V131" s="1642"/>
      <c r="W131" s="1642"/>
      <c r="X131" s="1642"/>
    </row>
    <row r="132" spans="14:24" s="1251" customFormat="1" ht="13.9" customHeight="1" x14ac:dyDescent="0.2">
      <c r="N132" s="1642"/>
      <c r="O132" s="1642"/>
      <c r="P132" s="1642"/>
      <c r="Q132" s="1642"/>
      <c r="R132" s="1642"/>
      <c r="S132" s="1642"/>
      <c r="T132" s="1642"/>
      <c r="U132" s="1642"/>
      <c r="V132" s="1642"/>
      <c r="W132" s="1642"/>
      <c r="X132" s="1642"/>
    </row>
    <row r="133" spans="14:24" s="1251" customFormat="1" ht="13.9" customHeight="1" x14ac:dyDescent="0.2">
      <c r="N133" s="1642"/>
      <c r="O133" s="1642"/>
      <c r="P133" s="1642"/>
      <c r="Q133" s="1642"/>
      <c r="R133" s="1642"/>
      <c r="S133" s="1642"/>
      <c r="T133" s="1642"/>
      <c r="U133" s="1642"/>
      <c r="V133" s="1642"/>
      <c r="W133" s="1642"/>
      <c r="X133" s="1642"/>
    </row>
    <row r="134" spans="14:24" s="1251" customFormat="1" ht="13.9" customHeight="1" x14ac:dyDescent="0.2">
      <c r="N134" s="1642"/>
      <c r="O134" s="1642"/>
      <c r="P134" s="1642"/>
      <c r="Q134" s="1642"/>
      <c r="R134" s="1642"/>
      <c r="S134" s="1642"/>
      <c r="T134" s="1642"/>
      <c r="U134" s="1642"/>
      <c r="V134" s="1642"/>
      <c r="W134" s="1642"/>
      <c r="X134" s="1642"/>
    </row>
    <row r="135" spans="14:24" s="1251" customFormat="1" ht="13.9" customHeight="1" x14ac:dyDescent="0.2">
      <c r="N135" s="1642"/>
      <c r="O135" s="1642"/>
      <c r="P135" s="1642"/>
      <c r="Q135" s="1642"/>
      <c r="R135" s="1642"/>
      <c r="S135" s="1642"/>
      <c r="T135" s="1642"/>
      <c r="U135" s="1642"/>
      <c r="V135" s="1642"/>
      <c r="W135" s="1642"/>
      <c r="X135" s="1642"/>
    </row>
    <row r="136" spans="14:24" s="1251" customFormat="1" ht="13.9" customHeight="1" x14ac:dyDescent="0.2">
      <c r="N136" s="1642"/>
      <c r="O136" s="1642"/>
      <c r="P136" s="1642"/>
      <c r="Q136" s="1642"/>
      <c r="R136" s="1642"/>
      <c r="S136" s="1642"/>
      <c r="T136" s="1642"/>
      <c r="U136" s="1642"/>
      <c r="V136" s="1642"/>
      <c r="W136" s="1642"/>
      <c r="X136" s="1642"/>
    </row>
    <row r="137" spans="14:24" s="1251" customFormat="1" ht="13.9" customHeight="1" x14ac:dyDescent="0.2">
      <c r="N137" s="1642"/>
      <c r="O137" s="1642"/>
      <c r="P137" s="1642"/>
      <c r="Q137" s="1642"/>
      <c r="R137" s="1642"/>
      <c r="S137" s="1642"/>
      <c r="T137" s="1642"/>
      <c r="U137" s="1642"/>
      <c r="V137" s="1642"/>
      <c r="W137" s="1642"/>
      <c r="X137" s="1642"/>
    </row>
    <row r="138" spans="14:24" s="1251" customFormat="1" ht="13.9" customHeight="1" x14ac:dyDescent="0.2">
      <c r="N138" s="1642"/>
      <c r="O138" s="1642"/>
      <c r="P138" s="1642"/>
      <c r="Q138" s="1642"/>
      <c r="R138" s="1642"/>
      <c r="S138" s="1642"/>
      <c r="T138" s="1642"/>
      <c r="U138" s="1642"/>
      <c r="V138" s="1642"/>
      <c r="W138" s="1642"/>
      <c r="X138" s="1642"/>
    </row>
    <row r="139" spans="14:24" s="1251" customFormat="1" ht="13.9" customHeight="1" x14ac:dyDescent="0.2">
      <c r="N139" s="1642"/>
      <c r="O139" s="1642"/>
      <c r="P139" s="1642"/>
      <c r="Q139" s="1642"/>
      <c r="R139" s="1642"/>
      <c r="S139" s="1642"/>
      <c r="T139" s="1642"/>
      <c r="U139" s="1642"/>
      <c r="V139" s="1642"/>
      <c r="W139" s="1642"/>
      <c r="X139" s="1642"/>
    </row>
    <row r="140" spans="14:24" s="1251" customFormat="1" ht="13.9" customHeight="1" x14ac:dyDescent="0.2">
      <c r="N140" s="1642"/>
      <c r="O140" s="1642"/>
      <c r="P140" s="1642"/>
      <c r="Q140" s="1642"/>
      <c r="R140" s="1642"/>
      <c r="S140" s="1642"/>
      <c r="T140" s="1642"/>
      <c r="U140" s="1642"/>
      <c r="V140" s="1642"/>
      <c r="W140" s="1642"/>
      <c r="X140" s="1642"/>
    </row>
    <row r="141" spans="14:24" s="1251" customFormat="1" ht="13.9" customHeight="1" x14ac:dyDescent="0.2">
      <c r="N141" s="1642"/>
      <c r="O141" s="1642"/>
      <c r="P141" s="1642"/>
      <c r="Q141" s="1642"/>
      <c r="R141" s="1642"/>
      <c r="S141" s="1642"/>
      <c r="T141" s="1642"/>
      <c r="U141" s="1642"/>
      <c r="V141" s="1642"/>
      <c r="W141" s="1642"/>
      <c r="X141" s="1642"/>
    </row>
    <row r="142" spans="14:24" s="1251" customFormat="1" ht="13.9" customHeight="1" x14ac:dyDescent="0.2">
      <c r="N142" s="1642"/>
      <c r="O142" s="1642"/>
      <c r="P142" s="1642"/>
      <c r="Q142" s="1642"/>
      <c r="R142" s="1642"/>
      <c r="S142" s="1642"/>
      <c r="T142" s="1642"/>
      <c r="U142" s="1642"/>
      <c r="V142" s="1642"/>
      <c r="W142" s="1642"/>
      <c r="X142" s="1642"/>
    </row>
    <row r="143" spans="14:24" s="1251" customFormat="1" ht="13.9" customHeight="1" x14ac:dyDescent="0.2">
      <c r="N143" s="1642"/>
      <c r="O143" s="1642"/>
      <c r="P143" s="1642"/>
      <c r="Q143" s="1642"/>
      <c r="R143" s="1642"/>
      <c r="S143" s="1642"/>
      <c r="T143" s="1642"/>
      <c r="U143" s="1642"/>
      <c r="V143" s="1642"/>
      <c r="W143" s="1642"/>
      <c r="X143" s="1642"/>
    </row>
    <row r="144" spans="14:24" s="1251" customFormat="1" ht="13.9" customHeight="1" x14ac:dyDescent="0.2">
      <c r="N144" s="1642"/>
      <c r="O144" s="1642"/>
      <c r="P144" s="1642"/>
      <c r="Q144" s="1642"/>
      <c r="R144" s="1642"/>
      <c r="S144" s="1642"/>
      <c r="T144" s="1642"/>
      <c r="U144" s="1642"/>
      <c r="V144" s="1642"/>
      <c r="W144" s="1642"/>
      <c r="X144" s="1642"/>
    </row>
    <row r="145" spans="14:24" s="1251" customFormat="1" ht="13.9" customHeight="1" x14ac:dyDescent="0.2">
      <c r="N145" s="1642"/>
      <c r="O145" s="1642"/>
      <c r="P145" s="1642"/>
      <c r="Q145" s="1642"/>
      <c r="R145" s="1642"/>
      <c r="S145" s="1642"/>
      <c r="T145" s="1642"/>
      <c r="U145" s="1642"/>
      <c r="V145" s="1642"/>
      <c r="W145" s="1642"/>
      <c r="X145" s="1642"/>
    </row>
    <row r="146" spans="14:24" s="1251" customFormat="1" ht="13.9" customHeight="1" x14ac:dyDescent="0.2">
      <c r="N146" s="1642"/>
      <c r="O146" s="1642"/>
      <c r="P146" s="1642"/>
      <c r="Q146" s="1642"/>
      <c r="R146" s="1642"/>
      <c r="S146" s="1642"/>
      <c r="T146" s="1642"/>
      <c r="U146" s="1642"/>
      <c r="V146" s="1642"/>
      <c r="W146" s="1642"/>
      <c r="X146" s="1642"/>
    </row>
    <row r="147" spans="14:24" s="1251" customFormat="1" ht="13.9" customHeight="1" x14ac:dyDescent="0.2">
      <c r="N147" s="1642"/>
      <c r="O147" s="1642"/>
      <c r="P147" s="1642"/>
      <c r="Q147" s="1642"/>
      <c r="R147" s="1642"/>
      <c r="S147" s="1642"/>
      <c r="T147" s="1642"/>
      <c r="U147" s="1642"/>
      <c r="V147" s="1642"/>
      <c r="W147" s="1642"/>
      <c r="X147" s="1642"/>
    </row>
    <row r="148" spans="14:24" s="1251" customFormat="1" ht="13.9" customHeight="1" x14ac:dyDescent="0.2">
      <c r="N148" s="1642"/>
      <c r="O148" s="1642"/>
      <c r="P148" s="1642"/>
      <c r="Q148" s="1642"/>
      <c r="R148" s="1642"/>
      <c r="S148" s="1642"/>
      <c r="T148" s="1642"/>
      <c r="U148" s="1642"/>
      <c r="V148" s="1642"/>
      <c r="W148" s="1642"/>
      <c r="X148" s="1642"/>
    </row>
    <row r="149" spans="14:24" s="1251" customFormat="1" ht="13.9" customHeight="1" x14ac:dyDescent="0.2">
      <c r="N149" s="1642"/>
      <c r="O149" s="1642"/>
      <c r="P149" s="1642"/>
      <c r="Q149" s="1642"/>
      <c r="R149" s="1642"/>
      <c r="S149" s="1642"/>
      <c r="T149" s="1642"/>
      <c r="U149" s="1642"/>
      <c r="V149" s="1642"/>
      <c r="W149" s="1642"/>
      <c r="X149" s="1642"/>
    </row>
    <row r="150" spans="14:24" s="1251" customFormat="1" ht="13.9" customHeight="1" x14ac:dyDescent="0.2">
      <c r="N150" s="1642"/>
      <c r="O150" s="1642"/>
      <c r="P150" s="1642"/>
      <c r="Q150" s="1642"/>
      <c r="R150" s="1642"/>
      <c r="S150" s="1642"/>
      <c r="T150" s="1642"/>
      <c r="U150" s="1642"/>
      <c r="V150" s="1642"/>
      <c r="W150" s="1642"/>
      <c r="X150" s="1642"/>
    </row>
    <row r="151" spans="14:24" s="1251" customFormat="1" ht="13.9" customHeight="1" x14ac:dyDescent="0.2">
      <c r="N151" s="1642"/>
      <c r="O151" s="1642"/>
      <c r="P151" s="1642"/>
      <c r="Q151" s="1642"/>
      <c r="R151" s="1642"/>
      <c r="S151" s="1642"/>
      <c r="T151" s="1642"/>
      <c r="U151" s="1642"/>
      <c r="V151" s="1642"/>
      <c r="W151" s="1642"/>
      <c r="X151" s="1642"/>
    </row>
    <row r="152" spans="14:24" s="1251" customFormat="1" ht="13.9" customHeight="1" x14ac:dyDescent="0.2">
      <c r="N152" s="1642"/>
      <c r="O152" s="1642"/>
      <c r="P152" s="1642"/>
      <c r="Q152" s="1642"/>
      <c r="R152" s="1642"/>
      <c r="S152" s="1642"/>
      <c r="T152" s="1642"/>
      <c r="U152" s="1642"/>
      <c r="V152" s="1642"/>
      <c r="W152" s="1642"/>
      <c r="X152" s="1642"/>
    </row>
    <row r="153" spans="14:24" s="1251" customFormat="1" ht="13.9" customHeight="1" x14ac:dyDescent="0.2">
      <c r="N153" s="1642"/>
      <c r="O153" s="1642"/>
      <c r="P153" s="1642"/>
      <c r="Q153" s="1642"/>
      <c r="R153" s="1642"/>
      <c r="S153" s="1642"/>
      <c r="T153" s="1642"/>
      <c r="U153" s="1642"/>
      <c r="V153" s="1642"/>
      <c r="W153" s="1642"/>
      <c r="X153" s="1642"/>
    </row>
    <row r="154" spans="14:24" s="1251" customFormat="1" ht="13.9" customHeight="1" x14ac:dyDescent="0.2">
      <c r="N154" s="1642"/>
      <c r="O154" s="1642"/>
      <c r="P154" s="1642"/>
      <c r="Q154" s="1642"/>
      <c r="R154" s="1642"/>
      <c r="S154" s="1642"/>
      <c r="T154" s="1642"/>
      <c r="U154" s="1642"/>
      <c r="V154" s="1642"/>
      <c r="W154" s="1642"/>
      <c r="X154" s="1642"/>
    </row>
    <row r="155" spans="14:24" s="1251" customFormat="1" ht="13.9" customHeight="1" x14ac:dyDescent="0.2">
      <c r="N155" s="1642"/>
      <c r="O155" s="1642"/>
      <c r="P155" s="1642"/>
      <c r="Q155" s="1642"/>
      <c r="R155" s="1642"/>
      <c r="S155" s="1642"/>
      <c r="T155" s="1642"/>
      <c r="U155" s="1642"/>
      <c r="V155" s="1642"/>
      <c r="W155" s="1642"/>
      <c r="X155" s="1642"/>
    </row>
    <row r="156" spans="14:24" s="1251" customFormat="1" ht="13.9" customHeight="1" x14ac:dyDescent="0.2">
      <c r="N156" s="1642"/>
      <c r="O156" s="1642"/>
      <c r="P156" s="1642"/>
      <c r="Q156" s="1642"/>
      <c r="R156" s="1642"/>
      <c r="S156" s="1642"/>
      <c r="T156" s="1642"/>
      <c r="U156" s="1642"/>
      <c r="V156" s="1642"/>
      <c r="W156" s="1642"/>
      <c r="X156" s="1642"/>
    </row>
    <row r="157" spans="14:24" s="1251" customFormat="1" ht="13.9" customHeight="1" x14ac:dyDescent="0.2">
      <c r="N157" s="1642"/>
      <c r="O157" s="1642"/>
      <c r="P157" s="1642"/>
      <c r="Q157" s="1642"/>
      <c r="R157" s="1642"/>
      <c r="S157" s="1642"/>
      <c r="T157" s="1642"/>
      <c r="U157" s="1642"/>
      <c r="V157" s="1642"/>
      <c r="W157" s="1642"/>
      <c r="X157" s="1642"/>
    </row>
    <row r="158" spans="14:24" s="1251" customFormat="1" ht="13.9" customHeight="1" x14ac:dyDescent="0.2">
      <c r="N158" s="1642"/>
      <c r="O158" s="1642"/>
      <c r="P158" s="1642"/>
      <c r="Q158" s="1642"/>
      <c r="R158" s="1642"/>
      <c r="S158" s="1642"/>
      <c r="T158" s="1642"/>
      <c r="U158" s="1642"/>
      <c r="V158" s="1642"/>
      <c r="W158" s="1642"/>
      <c r="X158" s="1642"/>
    </row>
    <row r="159" spans="14:24" s="1251" customFormat="1" ht="13.9" customHeight="1" x14ac:dyDescent="0.2">
      <c r="N159" s="1642"/>
      <c r="O159" s="1642"/>
      <c r="P159" s="1642"/>
      <c r="Q159" s="1642"/>
      <c r="R159" s="1642"/>
      <c r="S159" s="1642"/>
      <c r="T159" s="1642"/>
      <c r="U159" s="1642"/>
      <c r="V159" s="1642"/>
      <c r="W159" s="1642"/>
      <c r="X159" s="1642"/>
    </row>
    <row r="160" spans="14:24" s="1251" customFormat="1" ht="13.9" customHeight="1" x14ac:dyDescent="0.2">
      <c r="N160" s="1642"/>
      <c r="O160" s="1642"/>
      <c r="P160" s="1642"/>
      <c r="Q160" s="1642"/>
      <c r="R160" s="1642"/>
      <c r="S160" s="1642"/>
      <c r="T160" s="1642"/>
      <c r="U160" s="1642"/>
      <c r="V160" s="1642"/>
      <c r="W160" s="1642"/>
      <c r="X160" s="1642"/>
    </row>
    <row r="161" spans="14:24" s="1251" customFormat="1" ht="13.9" customHeight="1" x14ac:dyDescent="0.2">
      <c r="N161" s="1642"/>
      <c r="O161" s="1642"/>
      <c r="P161" s="1642"/>
      <c r="Q161" s="1642"/>
      <c r="R161" s="1642"/>
      <c r="S161" s="1642"/>
      <c r="T161" s="1642"/>
      <c r="U161" s="1642"/>
      <c r="V161" s="1642"/>
      <c r="W161" s="1642"/>
      <c r="X161" s="1642"/>
    </row>
    <row r="162" spans="14:24" s="1251" customFormat="1" ht="13.9" customHeight="1" x14ac:dyDescent="0.2">
      <c r="N162" s="1642"/>
      <c r="O162" s="1642"/>
      <c r="P162" s="1642"/>
      <c r="Q162" s="1642"/>
      <c r="R162" s="1642"/>
      <c r="S162" s="1642"/>
      <c r="T162" s="1642"/>
      <c r="U162" s="1642"/>
      <c r="V162" s="1642"/>
      <c r="W162" s="1642"/>
      <c r="X162" s="1642"/>
    </row>
    <row r="163" spans="14:24" s="1251" customFormat="1" ht="13.9" customHeight="1" x14ac:dyDescent="0.2">
      <c r="N163" s="1642"/>
      <c r="O163" s="1642"/>
      <c r="P163" s="1642"/>
      <c r="Q163" s="1642"/>
      <c r="R163" s="1642"/>
      <c r="S163" s="1642"/>
      <c r="T163" s="1642"/>
      <c r="U163" s="1642"/>
      <c r="V163" s="1642"/>
      <c r="W163" s="1642"/>
      <c r="X163" s="1642"/>
    </row>
    <row r="164" spans="14:24" s="1251" customFormat="1" ht="13.9" customHeight="1" x14ac:dyDescent="0.2">
      <c r="N164" s="1642"/>
      <c r="O164" s="1642"/>
      <c r="P164" s="1642"/>
      <c r="Q164" s="1642"/>
      <c r="R164" s="1642"/>
      <c r="S164" s="1642"/>
      <c r="T164" s="1642"/>
      <c r="U164" s="1642"/>
      <c r="V164" s="1642"/>
      <c r="W164" s="1642"/>
      <c r="X164" s="1642"/>
    </row>
    <row r="165" spans="14:24" s="1251" customFormat="1" ht="13.9" customHeight="1" x14ac:dyDescent="0.2">
      <c r="N165" s="1642"/>
      <c r="O165" s="1642"/>
      <c r="P165" s="1642"/>
      <c r="Q165" s="1642"/>
      <c r="R165" s="1642"/>
      <c r="S165" s="1642"/>
      <c r="T165" s="1642"/>
      <c r="U165" s="1642"/>
      <c r="V165" s="1642"/>
      <c r="W165" s="1642"/>
      <c r="X165" s="1642"/>
    </row>
    <row r="166" spans="14:24" s="1251" customFormat="1" ht="13.9" customHeight="1" x14ac:dyDescent="0.2">
      <c r="N166" s="1642"/>
      <c r="O166" s="1642"/>
      <c r="P166" s="1642"/>
      <c r="Q166" s="1642"/>
      <c r="R166" s="1642"/>
      <c r="S166" s="1642"/>
      <c r="T166" s="1642"/>
      <c r="U166" s="1642"/>
      <c r="V166" s="1642"/>
      <c r="W166" s="1642"/>
      <c r="X166" s="1642"/>
    </row>
    <row r="167" spans="14:24" s="1251" customFormat="1" ht="13.9" customHeight="1" x14ac:dyDescent="0.2">
      <c r="N167" s="1642"/>
      <c r="O167" s="1642"/>
      <c r="P167" s="1642"/>
      <c r="Q167" s="1642"/>
      <c r="R167" s="1642"/>
      <c r="S167" s="1642"/>
      <c r="T167" s="1642"/>
      <c r="U167" s="1642"/>
      <c r="V167" s="1642"/>
      <c r="W167" s="1642"/>
      <c r="X167" s="1642"/>
    </row>
    <row r="168" spans="14:24" s="1251" customFormat="1" ht="13.9" customHeight="1" x14ac:dyDescent="0.2">
      <c r="N168" s="1642"/>
      <c r="O168" s="1642"/>
      <c r="P168" s="1642"/>
      <c r="Q168" s="1642"/>
      <c r="R168" s="1642"/>
      <c r="S168" s="1642"/>
      <c r="T168" s="1642"/>
      <c r="U168" s="1642"/>
      <c r="V168" s="1642"/>
      <c r="W168" s="1642"/>
      <c r="X168" s="1642"/>
    </row>
    <row r="169" spans="14:24" s="1251" customFormat="1" ht="13.9" customHeight="1" x14ac:dyDescent="0.2">
      <c r="N169" s="1642"/>
      <c r="O169" s="1642"/>
      <c r="P169" s="1642"/>
      <c r="Q169" s="1642"/>
      <c r="R169" s="1642"/>
      <c r="S169" s="1642"/>
      <c r="T169" s="1642"/>
      <c r="U169" s="1642"/>
      <c r="V169" s="1642"/>
      <c r="W169" s="1642"/>
      <c r="X169" s="1642"/>
    </row>
    <row r="170" spans="14:24" s="1251" customFormat="1" ht="13.9" customHeight="1" x14ac:dyDescent="0.2">
      <c r="N170" s="1642"/>
      <c r="O170" s="1642"/>
      <c r="P170" s="1642"/>
      <c r="Q170" s="1642"/>
      <c r="R170" s="1642"/>
      <c r="S170" s="1642"/>
      <c r="T170" s="1642"/>
      <c r="U170" s="1642"/>
      <c r="V170" s="1642"/>
      <c r="W170" s="1642"/>
      <c r="X170" s="1642"/>
    </row>
    <row r="171" spans="14:24" s="1251" customFormat="1" ht="13.9" customHeight="1" x14ac:dyDescent="0.2">
      <c r="N171" s="1642"/>
      <c r="O171" s="1642"/>
      <c r="P171" s="1642"/>
      <c r="Q171" s="1642"/>
      <c r="R171" s="1642"/>
      <c r="S171" s="1642"/>
      <c r="T171" s="1642"/>
      <c r="U171" s="1642"/>
      <c r="V171" s="1642"/>
      <c r="W171" s="1642"/>
      <c r="X171" s="1642"/>
    </row>
    <row r="172" spans="14:24" s="1251" customFormat="1" ht="13.9" customHeight="1" x14ac:dyDescent="0.2">
      <c r="N172" s="1642"/>
      <c r="O172" s="1642"/>
      <c r="P172" s="1642"/>
      <c r="Q172" s="1642"/>
      <c r="R172" s="1642"/>
      <c r="S172" s="1642"/>
      <c r="T172" s="1642"/>
      <c r="U172" s="1642"/>
      <c r="V172" s="1642"/>
      <c r="W172" s="1642"/>
      <c r="X172" s="1642"/>
    </row>
    <row r="173" spans="14:24" s="1251" customFormat="1" ht="13.9" customHeight="1" x14ac:dyDescent="0.2">
      <c r="N173" s="1642"/>
      <c r="O173" s="1642"/>
      <c r="P173" s="1642"/>
      <c r="Q173" s="1642"/>
      <c r="R173" s="1642"/>
      <c r="S173" s="1642"/>
      <c r="T173" s="1642"/>
      <c r="U173" s="1642"/>
      <c r="V173" s="1642"/>
      <c r="W173" s="1642"/>
      <c r="X173" s="1642"/>
    </row>
    <row r="174" spans="14:24" s="1251" customFormat="1" ht="13.9" customHeight="1" x14ac:dyDescent="0.2">
      <c r="N174" s="1642"/>
      <c r="O174" s="1642"/>
      <c r="P174" s="1642"/>
      <c r="Q174" s="1642"/>
      <c r="R174" s="1642"/>
      <c r="S174" s="1642"/>
      <c r="T174" s="1642"/>
      <c r="U174" s="1642"/>
      <c r="V174" s="1642"/>
      <c r="W174" s="1642"/>
      <c r="X174" s="1642"/>
    </row>
    <row r="175" spans="14:24" s="1251" customFormat="1" ht="13.9" customHeight="1" x14ac:dyDescent="0.2">
      <c r="N175" s="1642"/>
      <c r="O175" s="1642"/>
      <c r="P175" s="1642"/>
      <c r="Q175" s="1642"/>
      <c r="R175" s="1642"/>
      <c r="S175" s="1642"/>
      <c r="T175" s="1642"/>
      <c r="U175" s="1642"/>
      <c r="V175" s="1642"/>
      <c r="W175" s="1642"/>
      <c r="X175" s="1642"/>
    </row>
    <row r="176" spans="14:24" s="1251" customFormat="1" ht="13.9" customHeight="1" x14ac:dyDescent="0.2">
      <c r="N176" s="1642"/>
      <c r="O176" s="1642"/>
      <c r="P176" s="1642"/>
      <c r="Q176" s="1642"/>
      <c r="R176" s="1642"/>
      <c r="S176" s="1642"/>
      <c r="T176" s="1642"/>
      <c r="U176" s="1642"/>
      <c r="V176" s="1642"/>
      <c r="W176" s="1642"/>
      <c r="X176" s="1642"/>
    </row>
    <row r="177" spans="14:24" s="1251" customFormat="1" ht="13.9" customHeight="1" x14ac:dyDescent="0.2">
      <c r="N177" s="1642"/>
      <c r="O177" s="1642"/>
      <c r="P177" s="1642"/>
      <c r="Q177" s="1642"/>
      <c r="R177" s="1642"/>
      <c r="S177" s="1642"/>
      <c r="T177" s="1642"/>
      <c r="U177" s="1642"/>
      <c r="V177" s="1642"/>
      <c r="W177" s="1642"/>
      <c r="X177" s="1642"/>
    </row>
    <row r="178" spans="14:24" s="1251" customFormat="1" ht="13.9" customHeight="1" x14ac:dyDescent="0.2">
      <c r="N178" s="1642"/>
      <c r="O178" s="1642"/>
      <c r="P178" s="1642"/>
      <c r="Q178" s="1642"/>
      <c r="R178" s="1642"/>
      <c r="S178" s="1642"/>
      <c r="T178" s="1642"/>
      <c r="U178" s="1642"/>
      <c r="V178" s="1642"/>
      <c r="W178" s="1642"/>
      <c r="X178" s="1642"/>
    </row>
    <row r="179" spans="14:24" s="257" customFormat="1" ht="13.9" customHeight="1" x14ac:dyDescent="0.2">
      <c r="N179" s="1642"/>
      <c r="O179" s="1642"/>
      <c r="P179" s="1642"/>
      <c r="Q179" s="1642"/>
      <c r="R179" s="1642"/>
      <c r="S179" s="1642"/>
      <c r="T179" s="1642"/>
      <c r="U179" s="1642"/>
      <c r="V179" s="1642"/>
      <c r="W179" s="1642"/>
      <c r="X179" s="1642"/>
    </row>
    <row r="180" spans="14:24" s="257" customFormat="1" ht="13.9" customHeight="1" x14ac:dyDescent="0.2">
      <c r="N180" s="1642"/>
      <c r="O180" s="1642"/>
      <c r="P180" s="1642"/>
      <c r="Q180" s="1642"/>
      <c r="R180" s="1642"/>
      <c r="S180" s="1642"/>
      <c r="T180" s="1642"/>
      <c r="U180" s="1642"/>
      <c r="V180" s="1642"/>
      <c r="W180" s="1642"/>
      <c r="X180" s="1642"/>
    </row>
    <row r="181" spans="14:24" s="257" customFormat="1" ht="13.9" customHeight="1" x14ac:dyDescent="0.2">
      <c r="N181" s="1642"/>
      <c r="O181" s="1642"/>
      <c r="P181" s="1642"/>
      <c r="Q181" s="1642"/>
      <c r="R181" s="1642"/>
      <c r="S181" s="1642"/>
      <c r="T181" s="1642"/>
      <c r="U181" s="1642"/>
      <c r="V181" s="1642"/>
      <c r="W181" s="1642"/>
      <c r="X181" s="1642"/>
    </row>
    <row r="182" spans="14:24" s="257" customFormat="1" ht="13.9" customHeight="1" x14ac:dyDescent="0.2">
      <c r="N182" s="1642"/>
      <c r="O182" s="1642"/>
      <c r="P182" s="1642"/>
      <c r="Q182" s="1642"/>
      <c r="R182" s="1642"/>
      <c r="S182" s="1642"/>
      <c r="T182" s="1642"/>
      <c r="U182" s="1642"/>
      <c r="V182" s="1642"/>
      <c r="W182" s="1642"/>
      <c r="X182" s="1642"/>
    </row>
    <row r="183" spans="14:24" s="257" customFormat="1" ht="13.9" customHeight="1" x14ac:dyDescent="0.2">
      <c r="N183" s="1642"/>
      <c r="O183" s="1642"/>
      <c r="P183" s="1642"/>
      <c r="Q183" s="1642"/>
      <c r="R183" s="1642"/>
      <c r="S183" s="1642"/>
      <c r="T183" s="1642"/>
      <c r="U183" s="1642"/>
      <c r="V183" s="1642"/>
      <c r="W183" s="1642"/>
      <c r="X183" s="1642"/>
    </row>
    <row r="184" spans="14:24" s="257" customFormat="1" ht="13.9" customHeight="1" x14ac:dyDescent="0.2">
      <c r="N184" s="1642"/>
      <c r="O184" s="1642"/>
      <c r="P184" s="1642"/>
      <c r="Q184" s="1642"/>
      <c r="R184" s="1642"/>
      <c r="S184" s="1642"/>
      <c r="T184" s="1642"/>
      <c r="U184" s="1642"/>
      <c r="V184" s="1642"/>
      <c r="W184" s="1642"/>
      <c r="X184" s="1642"/>
    </row>
    <row r="185" spans="14:24" s="257" customFormat="1" ht="13.9" customHeight="1" x14ac:dyDescent="0.2">
      <c r="N185" s="1642"/>
      <c r="O185" s="1642"/>
      <c r="P185" s="1642"/>
      <c r="Q185" s="1642"/>
      <c r="R185" s="1642"/>
      <c r="S185" s="1642"/>
      <c r="T185" s="1642"/>
      <c r="U185" s="1642"/>
      <c r="V185" s="1642"/>
      <c r="W185" s="1642"/>
      <c r="X185" s="1642"/>
    </row>
    <row r="186" spans="14:24" s="257" customFormat="1" ht="13.9" customHeight="1" x14ac:dyDescent="0.2">
      <c r="N186" s="1642"/>
      <c r="O186" s="1642"/>
      <c r="P186" s="1642"/>
      <c r="Q186" s="1642"/>
      <c r="R186" s="1642"/>
      <c r="S186" s="1642"/>
      <c r="T186" s="1642"/>
      <c r="U186" s="1642"/>
      <c r="V186" s="1642"/>
      <c r="W186" s="1642"/>
      <c r="X186" s="1642"/>
    </row>
    <row r="187" spans="14:24" s="257" customFormat="1" ht="13.9" customHeight="1" x14ac:dyDescent="0.2">
      <c r="N187" s="1642"/>
      <c r="O187" s="1642"/>
      <c r="P187" s="1642"/>
      <c r="Q187" s="1642"/>
      <c r="R187" s="1642"/>
      <c r="S187" s="1642"/>
      <c r="T187" s="1642"/>
      <c r="U187" s="1642"/>
      <c r="V187" s="1642"/>
      <c r="W187" s="1642"/>
      <c r="X187" s="1642"/>
    </row>
    <row r="188" spans="14:24" s="257" customFormat="1" ht="13.9" customHeight="1" x14ac:dyDescent="0.2">
      <c r="N188" s="1642"/>
      <c r="O188" s="1642"/>
      <c r="P188" s="1642"/>
      <c r="Q188" s="1642"/>
      <c r="R188" s="1642"/>
      <c r="S188" s="1642"/>
      <c r="T188" s="1642"/>
      <c r="U188" s="1642"/>
      <c r="V188" s="1642"/>
      <c r="W188" s="1642"/>
      <c r="X188" s="1642"/>
    </row>
    <row r="189" spans="14:24" s="257" customFormat="1" ht="13.9" customHeight="1" x14ac:dyDescent="0.2">
      <c r="N189" s="1642"/>
      <c r="O189" s="1642"/>
      <c r="P189" s="1642"/>
      <c r="Q189" s="1642"/>
      <c r="R189" s="1642"/>
      <c r="S189" s="1642"/>
      <c r="T189" s="1642"/>
      <c r="U189" s="1642"/>
      <c r="V189" s="1642"/>
      <c r="W189" s="1642"/>
      <c r="X189" s="1642"/>
    </row>
    <row r="190" spans="14:24" s="257" customFormat="1" ht="13.9" customHeight="1" x14ac:dyDescent="0.2">
      <c r="N190" s="1642"/>
      <c r="O190" s="1642"/>
      <c r="P190" s="1642"/>
      <c r="Q190" s="1642"/>
      <c r="R190" s="1642"/>
      <c r="S190" s="1642"/>
      <c r="T190" s="1642"/>
      <c r="U190" s="1642"/>
      <c r="V190" s="1642"/>
      <c r="W190" s="1642"/>
      <c r="X190" s="1642"/>
    </row>
    <row r="191" spans="14:24" s="257" customFormat="1" ht="13.9" customHeight="1" x14ac:dyDescent="0.2">
      <c r="N191" s="1642"/>
      <c r="O191" s="1642"/>
      <c r="P191" s="1642"/>
      <c r="Q191" s="1642"/>
      <c r="R191" s="1642"/>
      <c r="S191" s="1642"/>
      <c r="T191" s="1642"/>
      <c r="U191" s="1642"/>
      <c r="V191" s="1642"/>
      <c r="W191" s="1642"/>
      <c r="X191" s="1642"/>
    </row>
    <row r="192" spans="14:24" s="257" customFormat="1" ht="13.9" customHeight="1" x14ac:dyDescent="0.2">
      <c r="N192" s="1642"/>
      <c r="O192" s="1642"/>
      <c r="P192" s="1642"/>
      <c r="Q192" s="1642"/>
      <c r="R192" s="1642"/>
      <c r="S192" s="1642"/>
      <c r="T192" s="1642"/>
      <c r="U192" s="1642"/>
      <c r="V192" s="1642"/>
      <c r="W192" s="1642"/>
      <c r="X192" s="1642"/>
    </row>
    <row r="193" spans="14:24" s="257" customFormat="1" ht="13.9" customHeight="1" x14ac:dyDescent="0.2">
      <c r="N193" s="1642"/>
      <c r="O193" s="1642"/>
      <c r="P193" s="1642"/>
      <c r="Q193" s="1642"/>
      <c r="R193" s="1642"/>
      <c r="S193" s="1642"/>
      <c r="T193" s="1642"/>
      <c r="U193" s="1642"/>
      <c r="V193" s="1642"/>
      <c r="W193" s="1642"/>
      <c r="X193" s="1642"/>
    </row>
    <row r="194" spans="14:24" s="257" customFormat="1" ht="13.9" customHeight="1" x14ac:dyDescent="0.2">
      <c r="N194" s="1642"/>
      <c r="O194" s="1642"/>
      <c r="P194" s="1642"/>
      <c r="Q194" s="1642"/>
      <c r="R194" s="1642"/>
      <c r="S194" s="1642"/>
      <c r="T194" s="1642"/>
      <c r="U194" s="1642"/>
      <c r="V194" s="1642"/>
      <c r="W194" s="1642"/>
      <c r="X194" s="1642"/>
    </row>
    <row r="195" spans="14:24" s="257" customFormat="1" ht="13.9" customHeight="1" x14ac:dyDescent="0.2">
      <c r="N195" s="1642"/>
      <c r="O195" s="1642"/>
      <c r="P195" s="1642"/>
      <c r="Q195" s="1642"/>
      <c r="R195" s="1642"/>
      <c r="S195" s="1642"/>
      <c r="T195" s="1642"/>
      <c r="U195" s="1642"/>
      <c r="V195" s="1642"/>
      <c r="W195" s="1642"/>
      <c r="X195" s="1642"/>
    </row>
    <row r="196" spans="14:24" s="257" customFormat="1" ht="13.9" customHeight="1" x14ac:dyDescent="0.2">
      <c r="N196" s="1642"/>
      <c r="O196" s="1642"/>
      <c r="P196" s="1642"/>
      <c r="Q196" s="1642"/>
      <c r="R196" s="1642"/>
      <c r="S196" s="1642"/>
      <c r="T196" s="1642"/>
      <c r="U196" s="1642"/>
      <c r="V196" s="1642"/>
      <c r="W196" s="1642"/>
      <c r="X196" s="1642"/>
    </row>
    <row r="197" spans="14:24" s="257" customFormat="1" ht="13.9" customHeight="1" x14ac:dyDescent="0.2">
      <c r="N197" s="1642"/>
      <c r="O197" s="1642"/>
      <c r="P197" s="1642"/>
      <c r="Q197" s="1642"/>
      <c r="R197" s="1642"/>
      <c r="S197" s="1642"/>
      <c r="T197" s="1642"/>
      <c r="U197" s="1642"/>
      <c r="V197" s="1642"/>
      <c r="W197" s="1642"/>
      <c r="X197" s="1642"/>
    </row>
    <row r="198" spans="14:24" s="257" customFormat="1" ht="13.9" customHeight="1" x14ac:dyDescent="0.2">
      <c r="N198" s="1642"/>
      <c r="O198" s="1642"/>
      <c r="P198" s="1642"/>
      <c r="Q198" s="1642"/>
      <c r="R198" s="1642"/>
      <c r="S198" s="1642"/>
      <c r="T198" s="1642"/>
      <c r="U198" s="1642"/>
      <c r="V198" s="1642"/>
      <c r="W198" s="1642"/>
      <c r="X198" s="1642"/>
    </row>
    <row r="199" spans="14:24" s="257" customFormat="1" ht="13.9" customHeight="1" x14ac:dyDescent="0.2">
      <c r="N199" s="1642"/>
      <c r="O199" s="1642"/>
      <c r="P199" s="1642"/>
      <c r="Q199" s="1642"/>
      <c r="R199" s="1642"/>
      <c r="S199" s="1642"/>
      <c r="T199" s="1642"/>
      <c r="U199" s="1642"/>
      <c r="V199" s="1642"/>
      <c r="W199" s="1642"/>
      <c r="X199" s="1642"/>
    </row>
    <row r="200" spans="14:24" s="257" customFormat="1" ht="13.9" customHeight="1" x14ac:dyDescent="0.2">
      <c r="N200" s="1642"/>
      <c r="O200" s="1642"/>
      <c r="P200" s="1642"/>
      <c r="Q200" s="1642"/>
      <c r="R200" s="1642"/>
      <c r="S200" s="1642"/>
      <c r="T200" s="1642"/>
      <c r="U200" s="1642"/>
      <c r="V200" s="1642"/>
      <c r="W200" s="1642"/>
      <c r="X200" s="1642"/>
    </row>
    <row r="201" spans="14:24" s="257" customFormat="1" ht="13.9" customHeight="1" x14ac:dyDescent="0.2">
      <c r="N201" s="1642"/>
      <c r="O201" s="1642"/>
      <c r="P201" s="1642"/>
      <c r="Q201" s="1642"/>
      <c r="R201" s="1642"/>
      <c r="S201" s="1642"/>
      <c r="T201" s="1642"/>
      <c r="U201" s="1642"/>
      <c r="V201" s="1642"/>
      <c r="W201" s="1642"/>
      <c r="X201" s="1642"/>
    </row>
    <row r="202" spans="14:24" s="257" customFormat="1" ht="13.9" customHeight="1" x14ac:dyDescent="0.2">
      <c r="N202" s="1642"/>
      <c r="O202" s="1642"/>
      <c r="P202" s="1642"/>
      <c r="Q202" s="1642"/>
      <c r="R202" s="1642"/>
      <c r="S202" s="1642"/>
      <c r="T202" s="1642"/>
      <c r="U202" s="1642"/>
      <c r="V202" s="1642"/>
      <c r="W202" s="1642"/>
      <c r="X202" s="1642"/>
    </row>
    <row r="203" spans="14:24" s="257" customFormat="1" ht="13.9" customHeight="1" x14ac:dyDescent="0.2">
      <c r="N203" s="1642"/>
      <c r="O203" s="1642"/>
      <c r="P203" s="1642"/>
      <c r="Q203" s="1642"/>
      <c r="R203" s="1642"/>
      <c r="S203" s="1642"/>
      <c r="T203" s="1642"/>
      <c r="U203" s="1642"/>
      <c r="V203" s="1642"/>
      <c r="W203" s="1642"/>
      <c r="X203" s="1642"/>
    </row>
    <row r="204" spans="14:24" s="257" customFormat="1" ht="13.9" customHeight="1" x14ac:dyDescent="0.2">
      <c r="N204" s="1642"/>
      <c r="O204" s="1642"/>
      <c r="P204" s="1642"/>
      <c r="Q204" s="1642"/>
      <c r="R204" s="1642"/>
      <c r="S204" s="1642"/>
      <c r="T204" s="1642"/>
      <c r="U204" s="1642"/>
      <c r="V204" s="1642"/>
      <c r="W204" s="1642"/>
      <c r="X204" s="1642"/>
    </row>
    <row r="205" spans="14:24" s="257" customFormat="1" ht="13.9" customHeight="1" x14ac:dyDescent="0.2">
      <c r="N205" s="1642"/>
      <c r="O205" s="1642"/>
      <c r="P205" s="1642"/>
      <c r="Q205" s="1642"/>
      <c r="R205" s="1642"/>
      <c r="S205" s="1642"/>
      <c r="T205" s="1642"/>
      <c r="U205" s="1642"/>
      <c r="V205" s="1642"/>
      <c r="W205" s="1642"/>
      <c r="X205" s="1642"/>
    </row>
    <row r="206" spans="14:24" s="257" customFormat="1" ht="13.9" customHeight="1" x14ac:dyDescent="0.2">
      <c r="N206" s="1642"/>
      <c r="O206" s="1642"/>
      <c r="P206" s="1642"/>
      <c r="Q206" s="1642"/>
      <c r="R206" s="1642"/>
      <c r="S206" s="1642"/>
      <c r="T206" s="1642"/>
      <c r="U206" s="1642"/>
      <c r="V206" s="1642"/>
      <c r="W206" s="1642"/>
      <c r="X206" s="1642"/>
    </row>
    <row r="207" spans="14:24" s="257" customFormat="1" ht="13.9" customHeight="1" x14ac:dyDescent="0.2">
      <c r="N207" s="1642"/>
      <c r="O207" s="1642"/>
      <c r="P207" s="1642"/>
      <c r="Q207" s="1642"/>
      <c r="R207" s="1642"/>
      <c r="S207" s="1642"/>
      <c r="T207" s="1642"/>
      <c r="U207" s="1642"/>
      <c r="V207" s="1642"/>
      <c r="W207" s="1642"/>
      <c r="X207" s="1642"/>
    </row>
    <row r="208" spans="14:24" s="257" customFormat="1" ht="13.9" customHeight="1" x14ac:dyDescent="0.2">
      <c r="N208" s="1642"/>
      <c r="O208" s="1642"/>
      <c r="P208" s="1642"/>
      <c r="Q208" s="1642"/>
      <c r="R208" s="1642"/>
      <c r="S208" s="1642"/>
      <c r="T208" s="1642"/>
      <c r="U208" s="1642"/>
      <c r="V208" s="1642"/>
      <c r="W208" s="1642"/>
      <c r="X208" s="1642"/>
    </row>
    <row r="209" spans="3:24" s="257" customFormat="1" ht="13.9" customHeight="1" x14ac:dyDescent="0.2">
      <c r="N209" s="1642"/>
      <c r="O209" s="1642"/>
      <c r="P209" s="1642"/>
      <c r="Q209" s="1642"/>
      <c r="R209" s="1642"/>
      <c r="S209" s="1642"/>
      <c r="T209" s="1642"/>
      <c r="U209" s="1642"/>
      <c r="V209" s="1642"/>
      <c r="W209" s="1642"/>
      <c r="X209" s="1642"/>
    </row>
    <row r="210" spans="3:24" s="257" customFormat="1" ht="13.9" customHeight="1" x14ac:dyDescent="0.2">
      <c r="N210" s="1642"/>
      <c r="O210" s="1642"/>
      <c r="P210" s="1642"/>
      <c r="Q210" s="1642"/>
      <c r="R210" s="1642"/>
      <c r="S210" s="1642"/>
      <c r="T210" s="1642"/>
      <c r="U210" s="1642"/>
      <c r="V210" s="1642"/>
      <c r="W210" s="1642"/>
      <c r="X210" s="1642"/>
    </row>
    <row r="211" spans="3:24" s="257" customFormat="1" ht="13.9" customHeight="1" x14ac:dyDescent="0.2">
      <c r="C211" s="1124" t="s">
        <v>1725</v>
      </c>
      <c r="D211" s="394"/>
      <c r="E211" s="394"/>
      <c r="F211" s="1125" t="s">
        <v>1726</v>
      </c>
      <c r="G211" s="1112" t="s">
        <v>1727</v>
      </c>
      <c r="H211" s="1112" t="s">
        <v>1715</v>
      </c>
      <c r="I211" s="1113" t="s">
        <v>1716</v>
      </c>
      <c r="N211" s="1642"/>
      <c r="O211" s="1642"/>
      <c r="P211" s="1642"/>
      <c r="Q211" s="1642"/>
      <c r="R211" s="1642"/>
      <c r="S211" s="1642"/>
      <c r="T211" s="1642"/>
      <c r="U211" s="1642"/>
      <c r="V211" s="1642"/>
      <c r="W211" s="1642"/>
      <c r="X211" s="1642"/>
    </row>
    <row r="212" spans="3:24" s="257" customFormat="1" ht="13.9" customHeight="1" x14ac:dyDescent="0.2">
      <c r="C212" s="1707" t="s">
        <v>1728</v>
      </c>
      <c r="D212" s="1707"/>
      <c r="E212" s="1707"/>
      <c r="F212" s="1126">
        <v>0</v>
      </c>
      <c r="G212" s="1127">
        <v>0</v>
      </c>
      <c r="H212" s="1114">
        <v>0</v>
      </c>
      <c r="I212" s="1115" t="s">
        <v>1717</v>
      </c>
      <c r="N212" s="1642"/>
      <c r="O212" s="1642"/>
      <c r="P212" s="1642"/>
      <c r="Q212" s="1642"/>
      <c r="R212" s="1642"/>
      <c r="S212" s="1642"/>
      <c r="T212" s="1642"/>
      <c r="U212" s="1642"/>
      <c r="V212" s="1642"/>
      <c r="W212" s="1642"/>
      <c r="X212" s="1642"/>
    </row>
    <row r="213" spans="3:24" s="257" customFormat="1" ht="13.9" customHeight="1" x14ac:dyDescent="0.2">
      <c r="C213" s="1707" t="s">
        <v>1729</v>
      </c>
      <c r="D213" s="1707"/>
      <c r="E213" s="1707"/>
      <c r="F213" s="1126">
        <v>0.01</v>
      </c>
      <c r="G213" s="1127">
        <v>0.99</v>
      </c>
      <c r="H213" s="1114" t="s">
        <v>1718</v>
      </c>
      <c r="I213" s="1116" t="s">
        <v>1719</v>
      </c>
      <c r="N213" s="1642"/>
      <c r="O213" s="1642"/>
      <c r="P213" s="1642"/>
      <c r="Q213" s="1642"/>
      <c r="R213" s="1642"/>
      <c r="S213" s="1642"/>
      <c r="T213" s="1642"/>
      <c r="U213" s="1642"/>
      <c r="V213" s="1642"/>
      <c r="W213" s="1642"/>
      <c r="X213" s="1642"/>
    </row>
    <row r="214" spans="3:24" s="257" customFormat="1" ht="13.9" customHeight="1" x14ac:dyDescent="0.2">
      <c r="C214" s="1708" t="s">
        <v>1730</v>
      </c>
      <c r="D214" s="1708"/>
      <c r="E214" s="1708"/>
      <c r="F214" s="1128">
        <v>0.99999000000000005</v>
      </c>
      <c r="G214" s="1129">
        <v>1.99</v>
      </c>
      <c r="H214" s="1117" t="s">
        <v>1720</v>
      </c>
      <c r="I214" s="1118" t="s">
        <v>1719</v>
      </c>
      <c r="N214" s="1642"/>
      <c r="O214" s="1642"/>
      <c r="P214" s="1642"/>
      <c r="Q214" s="1642"/>
      <c r="R214" s="1642"/>
      <c r="S214" s="1642"/>
      <c r="T214" s="1642"/>
      <c r="U214" s="1642"/>
      <c r="V214" s="1642"/>
      <c r="W214" s="1642"/>
      <c r="X214" s="1642"/>
    </row>
    <row r="215" spans="3:24" s="257" customFormat="1" ht="13.9" customHeight="1" x14ac:dyDescent="0.2">
      <c r="C215" s="1709" t="s">
        <v>1731</v>
      </c>
      <c r="D215" s="1709"/>
      <c r="E215" s="1709"/>
      <c r="F215" s="1130">
        <v>1.9999998999999999</v>
      </c>
      <c r="G215" s="1119">
        <v>2.4900000000000002</v>
      </c>
      <c r="H215" s="1119" t="s">
        <v>1721</v>
      </c>
      <c r="I215" s="1120" t="s">
        <v>1722</v>
      </c>
      <c r="N215" s="1642"/>
      <c r="O215" s="1642"/>
      <c r="P215" s="1642"/>
      <c r="Q215" s="1642"/>
      <c r="R215" s="1642"/>
      <c r="S215" s="1642"/>
      <c r="T215" s="1642"/>
      <c r="U215" s="1642"/>
      <c r="V215" s="1642"/>
      <c r="W215" s="1642"/>
      <c r="X215" s="1642"/>
    </row>
    <row r="216" spans="3:24" s="257" customFormat="1" ht="13.9" customHeight="1" x14ac:dyDescent="0.2">
      <c r="C216" s="1710" t="s">
        <v>1732</v>
      </c>
      <c r="D216" s="1710"/>
      <c r="E216" s="1710"/>
      <c r="F216" s="1131">
        <v>2.4999989999999999</v>
      </c>
      <c r="G216" s="1121">
        <v>3</v>
      </c>
      <c r="H216" s="1121" t="s">
        <v>1723</v>
      </c>
      <c r="I216" s="1122" t="s">
        <v>1724</v>
      </c>
      <c r="N216" s="1642"/>
      <c r="O216" s="1642"/>
      <c r="P216" s="1642"/>
      <c r="Q216" s="1642"/>
      <c r="R216" s="1642"/>
      <c r="S216" s="1642"/>
      <c r="T216" s="1642"/>
      <c r="U216" s="1642"/>
      <c r="V216" s="1642"/>
      <c r="W216" s="1642"/>
      <c r="X216" s="1642"/>
    </row>
    <row r="217" spans="3:24" s="257" customFormat="1" ht="13.9" customHeight="1" x14ac:dyDescent="0.2">
      <c r="N217" s="1642"/>
      <c r="O217" s="1642"/>
      <c r="P217" s="1642"/>
      <c r="Q217" s="1642"/>
      <c r="R217" s="1642"/>
      <c r="S217" s="1642"/>
      <c r="T217" s="1642"/>
      <c r="U217" s="1642"/>
      <c r="V217" s="1642"/>
      <c r="W217" s="1642"/>
      <c r="X217" s="1642"/>
    </row>
    <row r="218" spans="3:24" s="257" customFormat="1" ht="13.9" customHeight="1" x14ac:dyDescent="0.2">
      <c r="N218" s="1642"/>
      <c r="O218" s="1642"/>
      <c r="P218" s="1642"/>
      <c r="Q218" s="1642"/>
      <c r="R218" s="1642"/>
      <c r="S218" s="1642"/>
      <c r="T218" s="1642"/>
      <c r="U218" s="1642"/>
      <c r="V218" s="1642"/>
      <c r="W218" s="1642"/>
      <c r="X218" s="1642"/>
    </row>
    <row r="219" spans="3:24" s="257" customFormat="1" ht="13.9" customHeight="1" x14ac:dyDescent="0.2">
      <c r="N219" s="1642"/>
      <c r="O219" s="1642"/>
      <c r="P219" s="1642"/>
      <c r="Q219" s="1642"/>
      <c r="R219" s="1642"/>
      <c r="S219" s="1642"/>
      <c r="T219" s="1642"/>
      <c r="U219" s="1642"/>
      <c r="V219" s="1642"/>
      <c r="W219" s="1642"/>
      <c r="X219" s="1642"/>
    </row>
    <row r="220" spans="3:24" s="257" customFormat="1" ht="13.9" customHeight="1" x14ac:dyDescent="0.2">
      <c r="N220" s="1642"/>
      <c r="O220" s="1642"/>
      <c r="P220" s="1642"/>
      <c r="Q220" s="1642"/>
      <c r="R220" s="1642"/>
      <c r="S220" s="1642"/>
      <c r="T220" s="1642"/>
      <c r="U220" s="1642"/>
      <c r="V220" s="1642"/>
      <c r="W220" s="1642"/>
      <c r="X220" s="1642"/>
    </row>
    <row r="221" spans="3:24" s="257" customFormat="1" ht="13.9" customHeight="1" x14ac:dyDescent="0.2">
      <c r="N221" s="1642"/>
      <c r="O221" s="1642"/>
      <c r="P221" s="1642"/>
      <c r="Q221" s="1642"/>
      <c r="R221" s="1642"/>
      <c r="S221" s="1642"/>
      <c r="T221" s="1642"/>
      <c r="U221" s="1642"/>
      <c r="V221" s="1642"/>
      <c r="W221" s="1642"/>
      <c r="X221" s="1642"/>
    </row>
    <row r="222" spans="3:24" s="257" customFormat="1" ht="13.9" customHeight="1" x14ac:dyDescent="0.2">
      <c r="N222" s="1642"/>
      <c r="O222" s="1642"/>
      <c r="P222" s="1642"/>
      <c r="Q222" s="1642"/>
      <c r="R222" s="1642"/>
      <c r="S222" s="1642"/>
      <c r="T222" s="1642"/>
      <c r="U222" s="1642"/>
      <c r="V222" s="1642"/>
      <c r="W222" s="1642"/>
      <c r="X222" s="1642"/>
    </row>
    <row r="223" spans="3:24" s="257" customFormat="1" ht="13.9" customHeight="1" x14ac:dyDescent="0.2">
      <c r="N223" s="1642"/>
      <c r="O223" s="1642"/>
      <c r="P223" s="1642"/>
      <c r="Q223" s="1642"/>
      <c r="R223" s="1642"/>
      <c r="S223" s="1642"/>
      <c r="T223" s="1642"/>
      <c r="U223" s="1642"/>
      <c r="V223" s="1642"/>
      <c r="W223" s="1642"/>
      <c r="X223" s="1642"/>
    </row>
    <row r="224" spans="3:24" s="257" customFormat="1" ht="13.9" customHeight="1" x14ac:dyDescent="0.2">
      <c r="N224" s="1642"/>
      <c r="O224" s="1642"/>
      <c r="P224" s="1642"/>
      <c r="Q224" s="1642"/>
      <c r="R224" s="1642"/>
      <c r="S224" s="1642"/>
      <c r="T224" s="1642"/>
      <c r="U224" s="1642"/>
      <c r="V224" s="1642"/>
      <c r="W224" s="1642"/>
      <c r="X224" s="1642"/>
    </row>
    <row r="225" spans="11:24" s="257" customFormat="1" ht="13.9" customHeight="1" x14ac:dyDescent="0.2">
      <c r="N225" s="1642"/>
      <c r="O225" s="1642"/>
      <c r="P225" s="1642"/>
      <c r="Q225" s="1642"/>
      <c r="R225" s="1642"/>
      <c r="S225" s="1642"/>
      <c r="T225" s="1642"/>
      <c r="U225" s="1642"/>
      <c r="V225" s="1642"/>
      <c r="W225" s="1642"/>
      <c r="X225" s="1642"/>
    </row>
    <row r="226" spans="11:24" s="257" customFormat="1" ht="13.9" customHeight="1" x14ac:dyDescent="0.2">
      <c r="N226" s="1642"/>
      <c r="O226" s="1642"/>
      <c r="P226" s="1642"/>
      <c r="Q226" s="1642"/>
      <c r="R226" s="1642"/>
      <c r="S226" s="1642"/>
      <c r="T226" s="1642"/>
      <c r="U226" s="1642"/>
      <c r="V226" s="1642"/>
      <c r="W226" s="1642"/>
      <c r="X226" s="1642"/>
    </row>
    <row r="227" spans="11:24" s="257" customFormat="1" ht="13.9" customHeight="1" x14ac:dyDescent="0.2">
      <c r="N227" s="1642"/>
      <c r="O227" s="1642"/>
      <c r="P227" s="1642"/>
      <c r="Q227" s="1642"/>
      <c r="R227" s="1642"/>
      <c r="S227" s="1642"/>
      <c r="T227" s="1642"/>
      <c r="U227" s="1642"/>
      <c r="V227" s="1642"/>
      <c r="W227" s="1642"/>
      <c r="X227" s="1642"/>
    </row>
    <row r="228" spans="11:24" s="257" customFormat="1" ht="13.9" customHeight="1" x14ac:dyDescent="0.2">
      <c r="N228" s="1642"/>
      <c r="O228" s="1642"/>
      <c r="P228" s="1642"/>
      <c r="Q228" s="1642"/>
      <c r="R228" s="1642"/>
      <c r="S228" s="1642"/>
      <c r="T228" s="1642"/>
      <c r="U228" s="1642"/>
      <c r="V228" s="1642"/>
      <c r="W228" s="1642"/>
      <c r="X228" s="1642"/>
    </row>
    <row r="229" spans="11:24" s="257" customFormat="1" ht="13.9" customHeight="1" x14ac:dyDescent="0.2">
      <c r="N229" s="1642"/>
      <c r="O229" s="1642"/>
      <c r="P229" s="1642"/>
      <c r="Q229" s="1642"/>
      <c r="R229" s="1642"/>
      <c r="S229" s="1642"/>
      <c r="T229" s="1642"/>
      <c r="U229" s="1642"/>
      <c r="V229" s="1642"/>
      <c r="W229" s="1642"/>
      <c r="X229" s="1642"/>
    </row>
    <row r="230" spans="11:24" s="257" customFormat="1" ht="13.9" customHeight="1" x14ac:dyDescent="0.2">
      <c r="N230" s="1642"/>
      <c r="O230" s="1642"/>
      <c r="P230" s="1642"/>
      <c r="Q230" s="1642"/>
      <c r="R230" s="1642"/>
      <c r="S230" s="1642"/>
      <c r="T230" s="1642"/>
      <c r="U230" s="1642"/>
      <c r="V230" s="1642"/>
      <c r="W230" s="1642"/>
      <c r="X230" s="1642"/>
    </row>
    <row r="231" spans="11:24" s="257" customFormat="1" ht="13.9" customHeight="1" x14ac:dyDescent="0.2">
      <c r="N231" s="1642"/>
      <c r="O231" s="1642"/>
      <c r="P231" s="1642"/>
      <c r="Q231" s="1642"/>
      <c r="R231" s="1642"/>
      <c r="S231" s="1642"/>
      <c r="T231" s="1642"/>
      <c r="U231" s="1642"/>
      <c r="V231" s="1642"/>
      <c r="W231" s="1642"/>
      <c r="X231" s="1642"/>
    </row>
    <row r="232" spans="11:24" s="257" customFormat="1" ht="13.9" customHeight="1" x14ac:dyDescent="0.2">
      <c r="N232" s="1642"/>
      <c r="O232" s="1642"/>
      <c r="P232" s="1642"/>
      <c r="Q232" s="1642"/>
      <c r="R232" s="1642"/>
      <c r="S232" s="1642"/>
      <c r="T232" s="1642"/>
      <c r="U232" s="1642"/>
      <c r="V232" s="1642"/>
      <c r="W232" s="1642"/>
      <c r="X232" s="1642"/>
    </row>
    <row r="233" spans="11:24" s="257" customFormat="1" ht="13.9" customHeight="1" x14ac:dyDescent="0.2">
      <c r="N233" s="1642"/>
      <c r="O233" s="1642"/>
      <c r="P233" s="1642"/>
      <c r="Q233" s="1642"/>
      <c r="R233" s="1642"/>
      <c r="S233" s="1642"/>
      <c r="T233" s="1642"/>
      <c r="U233" s="1642"/>
      <c r="V233" s="1642"/>
      <c r="W233" s="1642"/>
      <c r="X233" s="1642"/>
    </row>
    <row r="234" spans="11:24" s="257" customFormat="1" ht="13.9" customHeight="1" thickBot="1" x14ac:dyDescent="0.25">
      <c r="N234" s="1642"/>
      <c r="O234" s="1642"/>
      <c r="P234" s="1642"/>
      <c r="Q234" s="1642"/>
      <c r="R234" s="1642"/>
      <c r="S234" s="1642"/>
      <c r="T234" s="1642"/>
      <c r="U234" s="1642"/>
      <c r="V234" s="1642"/>
      <c r="W234" s="1642"/>
      <c r="X234" s="1642"/>
    </row>
    <row r="235" spans="11:24" s="257" customFormat="1" ht="13.9" customHeight="1" thickBot="1" x14ac:dyDescent="0.25">
      <c r="N235" s="1642"/>
      <c r="O235" s="1642"/>
      <c r="P235" s="1642"/>
      <c r="Q235" s="1642"/>
      <c r="R235" s="1642"/>
      <c r="S235" s="1642"/>
      <c r="T235" s="1643"/>
      <c r="U235" s="1644"/>
      <c r="V235" s="1642"/>
      <c r="W235" s="1642"/>
      <c r="X235" s="1642"/>
    </row>
    <row r="236" spans="11:24" s="257" customFormat="1" ht="13.9" customHeight="1" thickBot="1" x14ac:dyDescent="0.25">
      <c r="N236" s="1642"/>
      <c r="O236" s="1642"/>
      <c r="P236" s="1642"/>
      <c r="Q236" s="1642"/>
      <c r="R236" s="1642"/>
      <c r="S236" s="1642"/>
      <c r="T236" s="1645"/>
      <c r="U236" s="1646"/>
      <c r="V236" s="1642"/>
      <c r="W236" s="1642"/>
      <c r="X236" s="1642"/>
    </row>
    <row r="237" spans="11:24" s="257" customFormat="1" ht="13.9" customHeight="1" thickBot="1" x14ac:dyDescent="0.25">
      <c r="N237" s="1642"/>
      <c r="O237" s="1642"/>
      <c r="P237" s="1642"/>
      <c r="Q237" s="1642"/>
      <c r="R237" s="1642"/>
      <c r="S237" s="1642"/>
      <c r="T237" s="1647"/>
      <c r="U237" s="1644"/>
      <c r="V237" s="1642"/>
      <c r="W237" s="1642"/>
      <c r="X237" s="1642"/>
    </row>
    <row r="238" spans="11:24" ht="21.75" thickBot="1" x14ac:dyDescent="0.4">
      <c r="K238" s="257"/>
      <c r="L238" s="257"/>
      <c r="T238" s="1645"/>
      <c r="U238" s="1646"/>
      <c r="V238" s="1642"/>
      <c r="W238" s="1642"/>
    </row>
    <row r="239" spans="11:24" ht="21.75" thickBot="1" x14ac:dyDescent="0.4">
      <c r="K239" s="257"/>
      <c r="L239" s="257"/>
      <c r="T239" s="1647"/>
      <c r="U239" s="1644"/>
      <c r="V239" s="1642"/>
      <c r="W239" s="1642"/>
    </row>
    <row r="240" spans="11:24" ht="21.75" thickBot="1" x14ac:dyDescent="0.4">
      <c r="L240" s="257"/>
      <c r="T240" s="1645"/>
      <c r="U240" s="1646"/>
      <c r="V240" s="1642"/>
      <c r="W240" s="1642"/>
    </row>
    <row r="241" spans="12:12" x14ac:dyDescent="0.35">
      <c r="L241" s="257"/>
    </row>
    <row r="277" spans="11:12" x14ac:dyDescent="0.35">
      <c r="K277" s="909"/>
    </row>
    <row r="279" spans="11:12" x14ac:dyDescent="0.35">
      <c r="L279" s="909"/>
    </row>
  </sheetData>
  <sheetProtection algorithmName="SHA-512" hashValue="lhga8+HUPeITzyv1KO3yffUzpUFPbEr/ztMjggvo6xw/4d2IdhVBlXPVIuXJUDV1mWa4ArPHH5b0pRYyBk/DNA==" saltValue="QM4Wq5NXCvs29uGUaBAwFQ==" spinCount="100000" sheet="1" pivotTables="0"/>
  <protectedRanges>
    <protectedRange sqref="L30 L20 L22 L24" name="Rango3"/>
  </protectedRanges>
  <mergeCells count="123">
    <mergeCell ref="B67:F67"/>
    <mergeCell ref="B68:F68"/>
    <mergeCell ref="B69:F69"/>
    <mergeCell ref="B70:F70"/>
    <mergeCell ref="B71:F71"/>
    <mergeCell ref="B72:F72"/>
    <mergeCell ref="C49:C57"/>
    <mergeCell ref="I49:J49"/>
    <mergeCell ref="I50:J50"/>
    <mergeCell ref="C58:C60"/>
    <mergeCell ref="D61:E61"/>
    <mergeCell ref="B66:F66"/>
    <mergeCell ref="I51:J51"/>
    <mergeCell ref="Q12:Q14"/>
    <mergeCell ref="B39:D40"/>
    <mergeCell ref="E39:G40"/>
    <mergeCell ref="C41:D42"/>
    <mergeCell ref="E41:G42"/>
    <mergeCell ref="J25:J28"/>
    <mergeCell ref="C19:C34"/>
    <mergeCell ref="B26:B32"/>
    <mergeCell ref="L27:L28"/>
    <mergeCell ref="F29:F30"/>
    <mergeCell ref="G29:G30"/>
    <mergeCell ref="H29:H30"/>
    <mergeCell ref="I29:I30"/>
    <mergeCell ref="I25:I28"/>
    <mergeCell ref="B35:B37"/>
    <mergeCell ref="C35:C37"/>
    <mergeCell ref="G14:G15"/>
    <mergeCell ref="H14:H15"/>
    <mergeCell ref="G25:G28"/>
    <mergeCell ref="H25:H28"/>
    <mergeCell ref="J29:J30"/>
    <mergeCell ref="E31:F32"/>
    <mergeCell ref="G31:G32"/>
    <mergeCell ref="I23:I24"/>
    <mergeCell ref="D35:D37"/>
    <mergeCell ref="E35:G35"/>
    <mergeCell ref="E36:G36"/>
    <mergeCell ref="E37:G37"/>
    <mergeCell ref="E12:F13"/>
    <mergeCell ref="H12:H13"/>
    <mergeCell ref="P12:P15"/>
    <mergeCell ref="J23:J24"/>
    <mergeCell ref="D25:D32"/>
    <mergeCell ref="H31:H32"/>
    <mergeCell ref="I31:I32"/>
    <mergeCell ref="J31:J32"/>
    <mergeCell ref="K12:K13"/>
    <mergeCell ref="K16:K17"/>
    <mergeCell ref="K14:K15"/>
    <mergeCell ref="K25:K28"/>
    <mergeCell ref="N15:O15"/>
    <mergeCell ref="E23:F24"/>
    <mergeCell ref="G23:G24"/>
    <mergeCell ref="H23:H24"/>
    <mergeCell ref="E14:F15"/>
    <mergeCell ref="J16:J17"/>
    <mergeCell ref="I16:I17"/>
    <mergeCell ref="G12:G13"/>
    <mergeCell ref="E25:E30"/>
    <mergeCell ref="F25:F28"/>
    <mergeCell ref="F19:F20"/>
    <mergeCell ref="G19:G20"/>
    <mergeCell ref="H19:H20"/>
    <mergeCell ref="I19:I20"/>
    <mergeCell ref="J19:J20"/>
    <mergeCell ref="B12:B18"/>
    <mergeCell ref="C12:C18"/>
    <mergeCell ref="F21:F22"/>
    <mergeCell ref="G21:G22"/>
    <mergeCell ref="H21:H22"/>
    <mergeCell ref="I21:I22"/>
    <mergeCell ref="J21:J22"/>
    <mergeCell ref="L25:L26"/>
    <mergeCell ref="K33:K34"/>
    <mergeCell ref="B1:B2"/>
    <mergeCell ref="C1:C2"/>
    <mergeCell ref="B3:L3"/>
    <mergeCell ref="D4:H4"/>
    <mergeCell ref="D5:H5"/>
    <mergeCell ref="D6:F6"/>
    <mergeCell ref="D7:H7"/>
    <mergeCell ref="B9:B11"/>
    <mergeCell ref="C9:C11"/>
    <mergeCell ref="D9:D11"/>
    <mergeCell ref="E9:F11"/>
    <mergeCell ref="G9:G11"/>
    <mergeCell ref="H9:J9"/>
    <mergeCell ref="K9:K11"/>
    <mergeCell ref="I12:I13"/>
    <mergeCell ref="J12:J13"/>
    <mergeCell ref="E16:F17"/>
    <mergeCell ref="G16:G17"/>
    <mergeCell ref="H16:H17"/>
    <mergeCell ref="B19:B24"/>
    <mergeCell ref="D19:D24"/>
    <mergeCell ref="E19:E22"/>
    <mergeCell ref="K41:L42"/>
    <mergeCell ref="D1:K2"/>
    <mergeCell ref="H37:K37"/>
    <mergeCell ref="C212:E212"/>
    <mergeCell ref="C213:E213"/>
    <mergeCell ref="C214:E214"/>
    <mergeCell ref="C215:E215"/>
    <mergeCell ref="C216:E216"/>
    <mergeCell ref="E43:G44"/>
    <mergeCell ref="C43:D44"/>
    <mergeCell ref="D18:F18"/>
    <mergeCell ref="D12:D17"/>
    <mergeCell ref="D33:F34"/>
    <mergeCell ref="G33:G34"/>
    <mergeCell ref="H33:H34"/>
    <mergeCell ref="I33:I34"/>
    <mergeCell ref="J33:J34"/>
    <mergeCell ref="K19:K20"/>
    <mergeCell ref="K21:K22"/>
    <mergeCell ref="K23:K24"/>
    <mergeCell ref="K29:K30"/>
    <mergeCell ref="K31:K32"/>
    <mergeCell ref="K35:K36"/>
    <mergeCell ref="L9:L11"/>
  </mergeCells>
  <conditionalFormatting sqref="H37 H38:J38">
    <cfRule type="cellIs" dxfId="380" priority="125" operator="equal">
      <formula>"NO FENECE"</formula>
    </cfRule>
    <cfRule type="containsText" dxfId="379" priority="128" operator="containsText" text="INEFECTIVO">
      <formula>NOT(ISERROR(SEARCH("INEFECTIVO",H37)))</formula>
    </cfRule>
    <cfRule type="containsText" dxfId="378" priority="129" operator="containsText" text="EFECTIVO">
      <formula>NOT(ISERROR(SEARCH("EFECTIVO",H37)))</formula>
    </cfRule>
  </conditionalFormatting>
  <conditionalFormatting sqref="H37:H38">
    <cfRule type="cellIs" dxfId="377" priority="126" operator="equal">
      <formula>"FENECE"</formula>
    </cfRule>
    <cfRule type="containsText" dxfId="376" priority="140" stopIfTrue="1" operator="containsText" text="NO SE FENECE">
      <formula>NOT(ISERROR(SEARCH("NO SE FENECE",H37)))</formula>
    </cfRule>
    <cfRule type="containsText" dxfId="375" priority="141" stopIfTrue="1" operator="containsText" text="SE FENECE">
      <formula>NOT(ISERROR(SEARCH("SE FENECE",H37)))</formula>
    </cfRule>
  </conditionalFormatting>
  <conditionalFormatting sqref="H40">
    <cfRule type="expression" dxfId="374" priority="45">
      <formula>$H$40="CON DEFICIENCIAS"</formula>
    </cfRule>
    <cfRule type="expression" dxfId="373" priority="46">
      <formula>$H$40="EFICIENTE"</formula>
    </cfRule>
    <cfRule type="expression" dxfId="372" priority="47">
      <formula>$H$40="INEFICIENTE"</formula>
    </cfRule>
  </conditionalFormatting>
  <conditionalFormatting sqref="H42">
    <cfRule type="expression" dxfId="371" priority="127">
      <formula>$H$42="CON DEFICIENCIAS"</formula>
    </cfRule>
    <cfRule type="expression" dxfId="370" priority="138">
      <formula>$H$42="EFICIENTE"</formula>
    </cfRule>
    <cfRule type="expression" dxfId="369" priority="139">
      <formula>$H$42="INEFICIENTE"</formula>
    </cfRule>
  </conditionalFormatting>
  <conditionalFormatting sqref="H44">
    <cfRule type="expression" dxfId="368" priority="43">
      <formula>$H$44="EFICAZ"</formula>
    </cfRule>
    <cfRule type="expression" dxfId="367" priority="44">
      <formula>$H$44="INEFICAZ"</formula>
    </cfRule>
  </conditionalFormatting>
  <conditionalFormatting sqref="H36:I36">
    <cfRule type="containsText" dxfId="366" priority="144" stopIfTrue="1" operator="containsText" text="EFICAZ">
      <formula>NOT(ISERROR(SEARCH("EFICAZ",H36)))</formula>
    </cfRule>
    <cfRule type="containsText" dxfId="365" priority="145" stopIfTrue="1" operator="containsText" text="INEFICAZ">
      <formula>NOT(ISERROR(SEARCH("INEFICAZ",H36)))</formula>
    </cfRule>
  </conditionalFormatting>
  <conditionalFormatting sqref="H35:J35">
    <cfRule type="cellIs" dxfId="364" priority="132" operator="between">
      <formula>0.75</formula>
      <formula>1</formula>
    </cfRule>
    <cfRule type="cellIs" dxfId="363" priority="133" operator="between">
      <formula>0</formula>
      <formula>0.749</formula>
    </cfRule>
  </conditionalFormatting>
  <conditionalFormatting sqref="I44">
    <cfRule type="expression" dxfId="362" priority="22">
      <formula>$I$44="EFICIENTE"</formula>
    </cfRule>
    <cfRule type="expression" dxfId="361" priority="23">
      <formula>$I$44="INEFICIENTE"</formula>
    </cfRule>
  </conditionalFormatting>
  <conditionalFormatting sqref="J36">
    <cfRule type="containsText" dxfId="360" priority="142" stopIfTrue="1" operator="containsText" text="ANTIECONOMICA">
      <formula>NOT(ISERROR(SEARCH("ANTIECONOMICA",J36)))</formula>
    </cfRule>
    <cfRule type="containsText" dxfId="359" priority="143" stopIfTrue="1" operator="containsText" text="ECONOMICA">
      <formula>NOT(ISERROR(SEARCH("ECONOMICA",J36)))</formula>
    </cfRule>
  </conditionalFormatting>
  <conditionalFormatting sqref="K35:K36">
    <cfRule type="cellIs" dxfId="358" priority="78" operator="lessThan">
      <formula>0.75</formula>
    </cfRule>
    <cfRule type="cellIs" dxfId="357" priority="79" operator="greaterThanOrEqual">
      <formula>0.75</formula>
    </cfRule>
  </conditionalFormatting>
  <conditionalFormatting sqref="L13">
    <cfRule type="containsText" dxfId="356" priority="102" operator="containsText" text="No razonable">
      <formula>NOT(ISERROR(SEARCH("No razonable",L13)))</formula>
    </cfRule>
    <cfRule type="containsText" dxfId="355" priority="103" operator="containsText" text="neg">
      <formula>NOT(ISERROR(SEARCH("neg",L13)))</formula>
    </cfRule>
    <cfRule type="containsText" dxfId="354" priority="104" operator="containsText" text="Razonable">
      <formula>NOT(ISERROR(SEARCH("Razonable",L13)))</formula>
    </cfRule>
    <cfRule type="containsText" dxfId="353" priority="105" operator="containsText" text="NEGATIVA">
      <formula>NOT(ISERROR(SEARCH("NEGATIVA",L13)))</formula>
    </cfRule>
    <cfRule type="containsText" dxfId="352" priority="106" operator="containsText" text="ABSTENCIÓN">
      <formula>NOT(ISERROR(SEARCH("ABSTENCIÓN",L13)))</formula>
    </cfRule>
    <cfRule type="containsText" dxfId="351" priority="107" operator="containsText" text="CON SALVEDADES">
      <formula>NOT(ISERROR(SEARCH("CON SALVEDADES",L13)))</formula>
    </cfRule>
  </conditionalFormatting>
  <conditionalFormatting sqref="L17">
    <cfRule type="containsText" dxfId="350" priority="93" operator="containsText" text="No Aplica">
      <formula>NOT(ISERROR(SEARCH("No Aplica",L17)))</formula>
    </cfRule>
    <cfRule type="containsText" dxfId="349" priority="108" operator="containsText" text="Inefectivo">
      <formula>NOT(ISERROR(SEARCH("Inefectivo",L17)))</formula>
    </cfRule>
    <cfRule type="expression" dxfId="348" priority="109">
      <formula>"""Con Observaciones"""</formula>
    </cfRule>
    <cfRule type="containsText" dxfId="347" priority="110" operator="containsText" text="Efectivo">
      <formula>NOT(ISERROR(SEARCH("Efectivo",L17)))</formula>
    </cfRule>
  </conditionalFormatting>
  <conditionalFormatting sqref="L18">
    <cfRule type="expression" dxfId="346" priority="67">
      <formula>$J$18="La calificación de los principios de Desempeño Financiero debe ser 0%, porque no hay razonabilidad de Estados Financieros"</formula>
    </cfRule>
  </conditionalFormatting>
  <conditionalFormatting sqref="L20">
    <cfRule type="containsText" dxfId="345" priority="24" operator="containsText" text="No Aplica">
      <formula>NOT(ISERROR(SEARCH("No Aplica",L20)))</formula>
    </cfRule>
    <cfRule type="containsText" dxfId="344" priority="63" operator="containsText" text="Razonable">
      <formula>NOT(ISERROR(SEARCH("Razonable",L20)))</formula>
    </cfRule>
    <cfRule type="expression" dxfId="343" priority="64">
      <formula>$J$20="Abstención"</formula>
    </cfRule>
    <cfRule type="containsText" dxfId="342" priority="65" operator="containsText" text="Con Salvedades">
      <formula>NOT(ISERROR(SEARCH("Con Salvedades",L20)))</formula>
    </cfRule>
    <cfRule type="containsText" dxfId="341" priority="66" operator="containsText" text="No Razonable">
      <formula>NOT(ISERROR(SEARCH("No Razonable",L20)))</formula>
    </cfRule>
  </conditionalFormatting>
  <conditionalFormatting sqref="L22">
    <cfRule type="containsText" dxfId="340" priority="59" operator="containsText" text="Razonable">
      <formula>NOT(ISERROR(SEARCH("Razonable",L22)))</formula>
    </cfRule>
    <cfRule type="expression" dxfId="339" priority="60">
      <formula>$J$22="Abstención"</formula>
    </cfRule>
    <cfRule type="containsText" dxfId="338" priority="61" operator="containsText" text="Con Salvedades">
      <formula>NOT(ISERROR(SEARCH("Con Salvedades",L22)))</formula>
    </cfRule>
    <cfRule type="containsText" dxfId="337" priority="62" operator="containsText" text="No Razonable">
      <formula>NOT(ISERROR(SEARCH("No Razonable",L22)))</formula>
    </cfRule>
  </conditionalFormatting>
  <conditionalFormatting sqref="L24">
    <cfRule type="containsText" dxfId="336" priority="55" operator="containsText" text="Razonable">
      <formula>NOT(ISERROR(SEARCH("Razonable",L24)))</formula>
    </cfRule>
    <cfRule type="containsText" dxfId="335" priority="56" operator="containsText" text="Abstención">
      <formula>NOT(ISERROR(SEARCH("Abstención",L24)))</formula>
    </cfRule>
    <cfRule type="containsText" dxfId="334" priority="57" operator="containsText" text="Con Salvedades">
      <formula>NOT(ISERROR(SEARCH("Con Salvedades",L24)))</formula>
    </cfRule>
    <cfRule type="containsText" dxfId="333" priority="58" operator="containsText" text="No Razonable">
      <formula>NOT(ISERROR(SEARCH("No Razonable",L24)))</formula>
    </cfRule>
  </conditionalFormatting>
  <conditionalFormatting sqref="L27:L28">
    <cfRule type="containsText" dxfId="332" priority="92" operator="containsText" text="No Aplica">
      <formula>NOT(ISERROR(SEARCH("No Aplica",L27)))</formula>
    </cfRule>
    <cfRule type="containsText" dxfId="331" priority="97" operator="containsText" text="Desfavorable">
      <formula>NOT(ISERROR(SEARCH("Desfavorable",L27)))</formula>
    </cfRule>
    <cfRule type="containsText" dxfId="330" priority="98" operator="containsText" text="Favorable">
      <formula>NOT(ISERROR(SEARCH("Favorable",L27)))</formula>
    </cfRule>
    <cfRule type="containsText" dxfId="329" priority="101" operator="containsText" text="Con Observaciones">
      <formula>NOT(ISERROR(SEARCH("Con Observaciones",L27)))</formula>
    </cfRule>
  </conditionalFormatting>
  <conditionalFormatting sqref="L30">
    <cfRule type="containsText" dxfId="328" priority="162" operator="containsText" text="No Favorable">
      <formula>NOT(ISERROR(SEARCH("No Favorable",L30)))</formula>
    </cfRule>
    <cfRule type="containsText" dxfId="327" priority="163" operator="containsText" text="Con Observaciones">
      <formula>NOT(ISERROR(SEARCH("Con Observaciones",L30)))</formula>
    </cfRule>
    <cfRule type="containsText" dxfId="326" priority="164" operator="containsText" text="Favorable">
      <formula>NOT(ISERROR(SEARCH("Favorable",L30)))</formula>
    </cfRule>
  </conditionalFormatting>
  <conditionalFormatting sqref="L32 L34">
    <cfRule type="containsText" dxfId="325" priority="165" operator="containsText" text="Desfavorable">
      <formula>NOT(ISERROR(SEARCH("Desfavorable",L32)))</formula>
    </cfRule>
    <cfRule type="containsText" dxfId="324" priority="166" operator="containsText" text="Con Observaciones">
      <formula>NOT(ISERROR(SEARCH("Con Observaciones",L32)))</formula>
    </cfRule>
    <cfRule type="containsText" dxfId="323" priority="167" operator="containsText" text="Favorable">
      <formula>NOT(ISERROR(SEARCH("Favorable",L32)))</formula>
    </cfRule>
  </conditionalFormatting>
  <conditionalFormatting sqref="L1:L2">
    <cfRule type="cellIs" dxfId="322" priority="17" operator="equal">
      <formula>"INEXISTENTE"</formula>
    </cfRule>
    <cfRule type="cellIs" dxfId="321" priority="18" operator="equal">
      <formula>"INADECUADO"</formula>
    </cfRule>
    <cfRule type="cellIs" dxfId="320" priority="19" operator="equal">
      <formula>"PARCIALMENTE ADECUADO"</formula>
    </cfRule>
    <cfRule type="cellIs" dxfId="319" priority="20" operator="equal">
      <formula>"ADECUADO"</formula>
    </cfRule>
    <cfRule type="cellIs" dxfId="318" priority="21" operator="equal">
      <formula>"ERROR"</formula>
    </cfRule>
  </conditionalFormatting>
  <conditionalFormatting sqref="L15">
    <cfRule type="containsText" dxfId="317" priority="1" operator="containsText" text="Negativa">
      <formula>NOT(ISERROR(SEARCH("Negativa",L15)))</formula>
    </cfRule>
    <cfRule type="containsText" dxfId="316" priority="11" operator="containsText" text="No razonable">
      <formula>NOT(ISERROR(SEARCH("No razonable",L15)))</formula>
    </cfRule>
    <cfRule type="containsText" dxfId="315" priority="12" operator="containsText" text="neg">
      <formula>NOT(ISERROR(SEARCH("neg",L15)))</formula>
    </cfRule>
    <cfRule type="containsText" dxfId="314" priority="13" operator="containsText" text="Razonable">
      <formula>NOT(ISERROR(SEARCH("Razonable",L15)))</formula>
    </cfRule>
    <cfRule type="containsText" dxfId="313" priority="14" operator="containsText" text="NEGATIVA">
      <formula>NOT(ISERROR(SEARCH("NEGATIVA",L15)))</formula>
    </cfRule>
    <cfRule type="containsText" dxfId="312" priority="15" operator="containsText" text="ABSTENCIÓN">
      <formula>NOT(ISERROR(SEARCH("ABSTENCIÓN",L15)))</formula>
    </cfRule>
    <cfRule type="containsText" dxfId="311" priority="16" operator="containsText" text="CON SALVEDADES">
      <formula>NOT(ISERROR(SEARCH("CON SALVEDADES",L15)))</formula>
    </cfRule>
  </conditionalFormatting>
  <conditionalFormatting sqref="E14:F15">
    <cfRule type="containsText" dxfId="310" priority="6" operator="containsText" text="ESTADOS FINANCIEROS Sistema Integrado de Transporte Público - SITP">
      <formula>NOT(ISERROR(SEARCH("ESTADOS FINANCIEROS Sistema Integrado de Transporte Público - SITP",E14)))</formula>
    </cfRule>
    <cfRule type="containsText" dxfId="309" priority="7" operator="containsText" text="  ">
      <formula>NOT(ISERROR(SEARCH("  ",E14)))</formula>
    </cfRule>
  </conditionalFormatting>
  <conditionalFormatting sqref="H14:H15">
    <cfRule type="top10" dxfId="308" priority="3" percent="1" bottom="1" rank="1"/>
  </conditionalFormatting>
  <conditionalFormatting sqref="L14">
    <cfRule type="containsText" dxfId="307" priority="2" operator="containsText" text="OPINION ESTADOS FINANCIEROS SITP">
      <formula>NOT(ISERROR(SEARCH("OPINION ESTADOS FINANCIEROS SITP",L14)))</formula>
    </cfRule>
  </conditionalFormatting>
  <pageMargins left="0.7" right="0.7" top="0.75" bottom="0.75" header="0.3" footer="0.3"/>
  <ignoredErrors>
    <ignoredError sqref="H17 I26:J28 I16 I30:J30 H30 H22 H24 H26:H28 J25 H13 H20"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LISTAS!$R$3:$R$96</xm:f>
          </x14:formula1>
          <xm:sqref>D5:H5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85"/>
  <sheetViews>
    <sheetView zoomScale="106" zoomScaleNormal="100" workbookViewId="0">
      <selection activeCell="A4" sqref="A4"/>
    </sheetView>
  </sheetViews>
  <sheetFormatPr baseColWidth="10" defaultColWidth="11.42578125" defaultRowHeight="14.25" x14ac:dyDescent="0.2"/>
  <cols>
    <col min="1" max="1" width="11.42578125" style="11"/>
    <col min="2" max="2" width="33.140625" style="11" customWidth="1"/>
    <col min="3" max="3" width="29.85546875" style="11" customWidth="1"/>
    <col min="4" max="4" width="31.5703125" style="11" customWidth="1"/>
    <col min="5" max="5" width="21.7109375" style="11" customWidth="1"/>
    <col min="6" max="6" width="12.42578125" style="11" customWidth="1"/>
    <col min="7" max="7" width="22.28515625" style="11" customWidth="1"/>
    <col min="8" max="8" width="21.42578125" style="1187" customWidth="1"/>
    <col min="9" max="9" width="24.7109375" style="11" bestFit="1" customWidth="1"/>
    <col min="10" max="10" width="24.7109375" style="62" customWidth="1"/>
    <col min="11" max="11" width="21.28515625" style="62" customWidth="1"/>
    <col min="12" max="13" width="27.42578125" style="11" customWidth="1"/>
    <col min="14" max="14" width="27.42578125" style="62" customWidth="1"/>
    <col min="15" max="15" width="35.7109375" style="62" customWidth="1"/>
    <col min="16" max="16" width="16.28515625" style="11" customWidth="1"/>
    <col min="17" max="17" width="16.28515625" style="62" customWidth="1"/>
    <col min="18" max="18" width="23" style="62" customWidth="1"/>
    <col min="19" max="19" width="17" style="11" customWidth="1"/>
    <col min="20" max="16384" width="11.42578125" style="11"/>
  </cols>
  <sheetData>
    <row r="1" spans="1:19" ht="48" customHeight="1" x14ac:dyDescent="0.2">
      <c r="B1" s="1903"/>
      <c r="C1" s="1908" t="s">
        <v>1697</v>
      </c>
      <c r="D1" s="1909"/>
      <c r="E1" s="1909"/>
      <c r="F1" s="1909"/>
      <c r="G1" s="1909"/>
      <c r="H1" s="1909"/>
      <c r="I1" s="1909"/>
      <c r="J1" s="1909"/>
      <c r="K1" s="1909"/>
      <c r="L1" s="1909"/>
      <c r="M1" s="1909"/>
      <c r="N1" s="1909"/>
      <c r="O1" s="1909"/>
      <c r="P1" s="1909"/>
      <c r="Q1" s="1909"/>
      <c r="R1" s="1910"/>
      <c r="S1" s="1095" t="s">
        <v>1695</v>
      </c>
    </row>
    <row r="2" spans="1:19" ht="28.5" customHeight="1" x14ac:dyDescent="0.2">
      <c r="B2" s="1904"/>
      <c r="C2" s="1911"/>
      <c r="D2" s="1912"/>
      <c r="E2" s="1912"/>
      <c r="F2" s="1912"/>
      <c r="G2" s="1912"/>
      <c r="H2" s="1912"/>
      <c r="I2" s="1912"/>
      <c r="J2" s="1912"/>
      <c r="K2" s="1912"/>
      <c r="L2" s="1912"/>
      <c r="M2" s="1912"/>
      <c r="N2" s="1912"/>
      <c r="O2" s="1912"/>
      <c r="P2" s="1912"/>
      <c r="Q2" s="1912"/>
      <c r="R2" s="1913"/>
      <c r="S2" s="1093" t="s">
        <v>1936</v>
      </c>
    </row>
    <row r="4" spans="1:19" ht="18" x14ac:dyDescent="0.25">
      <c r="B4" s="303"/>
      <c r="C4" s="1905"/>
      <c r="D4" s="1905"/>
      <c r="E4" s="304"/>
      <c r="F4" s="9"/>
      <c r="G4" s="9"/>
      <c r="H4" s="1557"/>
    </row>
    <row r="5" spans="1:19" ht="18" x14ac:dyDescent="0.2">
      <c r="C5" s="1906" t="s">
        <v>650</v>
      </c>
      <c r="D5" s="1906"/>
      <c r="E5" s="1906"/>
      <c r="F5" s="1906"/>
      <c r="G5" s="1906"/>
      <c r="H5" s="1906"/>
    </row>
    <row r="6" spans="1:19" ht="15.75" customHeight="1" x14ac:dyDescent="0.2">
      <c r="B6" s="11" t="s">
        <v>0</v>
      </c>
      <c r="C6" s="1756" t="str">
        <f>+FENECIMIENTO!D4</f>
        <v xml:space="preserve">150000 - DIRECCIÓN SECTOR HACIENDA </v>
      </c>
      <c r="D6" s="1756"/>
    </row>
    <row r="7" spans="1:19" ht="31.15" customHeight="1" x14ac:dyDescent="0.2">
      <c r="B7" s="11" t="s">
        <v>1</v>
      </c>
      <c r="C7" s="1907" t="str">
        <f>+FENECIMIENTO!D5</f>
        <v xml:space="preserve">206 - Fondo de Prestaciones Económicas, Cesantías y Pensiones – FONCEP </v>
      </c>
      <c r="D7" s="1907"/>
      <c r="F7" s="305" t="s">
        <v>2</v>
      </c>
      <c r="G7" s="306"/>
      <c r="H7" s="1576">
        <f>+FENECIMIENTO!K5</f>
        <v>2024</v>
      </c>
      <c r="P7" s="307"/>
      <c r="R7" s="87"/>
      <c r="S7" s="307"/>
    </row>
    <row r="8" spans="1:19" x14ac:dyDescent="0.2">
      <c r="B8" s="11" t="s">
        <v>1683</v>
      </c>
      <c r="C8" s="1551">
        <f>+FENECIMIENTO!D6</f>
        <v>2025</v>
      </c>
      <c r="D8" s="1261"/>
      <c r="F8" s="305" t="s">
        <v>3</v>
      </c>
      <c r="G8" s="306"/>
      <c r="H8" s="1576">
        <f>+FENECIMIENTO!K6</f>
        <v>87</v>
      </c>
    </row>
    <row r="9" spans="1:19" x14ac:dyDescent="0.2">
      <c r="B9" s="11" t="s">
        <v>4</v>
      </c>
      <c r="C9" s="1262">
        <f>+FENECIMIENTO!D7</f>
        <v>45693</v>
      </c>
      <c r="D9" s="1260"/>
      <c r="F9" s="305" t="s">
        <v>5</v>
      </c>
      <c r="G9" s="306"/>
      <c r="H9" s="1262">
        <f>+FENECIMIENTO!K7</f>
        <v>45693</v>
      </c>
    </row>
    <row r="10" spans="1:19" ht="15.75" x14ac:dyDescent="0.25">
      <c r="B10" s="49"/>
      <c r="E10" s="49"/>
      <c r="F10" s="49"/>
      <c r="G10" s="49"/>
      <c r="I10" s="11" t="s">
        <v>651</v>
      </c>
      <c r="J10" s="1885" t="s">
        <v>652</v>
      </c>
      <c r="K10" s="1885"/>
      <c r="L10" s="1885"/>
      <c r="M10" s="1885"/>
      <c r="N10" s="1885"/>
      <c r="O10" s="1885"/>
      <c r="P10" s="1885"/>
      <c r="Q10" s="1885"/>
      <c r="R10" s="309"/>
    </row>
    <row r="11" spans="1:19" s="51" customFormat="1" ht="120" x14ac:dyDescent="0.2">
      <c r="A11" s="1267" t="s">
        <v>653</v>
      </c>
      <c r="B11" s="1267" t="s">
        <v>654</v>
      </c>
      <c r="C11" s="1267" t="s">
        <v>1769</v>
      </c>
      <c r="D11" s="1267" t="s">
        <v>1770</v>
      </c>
      <c r="E11" s="1267" t="s">
        <v>655</v>
      </c>
      <c r="F11" s="1267" t="s">
        <v>656</v>
      </c>
      <c r="G11" s="1267" t="s">
        <v>657</v>
      </c>
      <c r="H11" s="1558" t="s">
        <v>658</v>
      </c>
      <c r="I11" s="1267" t="s">
        <v>659</v>
      </c>
      <c r="J11" s="1267" t="s">
        <v>660</v>
      </c>
      <c r="K11" s="1267" t="s">
        <v>661</v>
      </c>
      <c r="L11" s="1267" t="s">
        <v>662</v>
      </c>
      <c r="M11" s="1267" t="s">
        <v>663</v>
      </c>
      <c r="N11" s="1267" t="s">
        <v>664</v>
      </c>
      <c r="O11" s="1267" t="s">
        <v>665</v>
      </c>
      <c r="P11" s="1267" t="s">
        <v>666</v>
      </c>
      <c r="Q11" s="1267" t="s">
        <v>664</v>
      </c>
      <c r="R11" s="1267" t="s">
        <v>667</v>
      </c>
      <c r="S11" s="1267" t="s">
        <v>668</v>
      </c>
    </row>
    <row r="12" spans="1:19" s="1285" customFormat="1" ht="13.9" customHeight="1" x14ac:dyDescent="0.2">
      <c r="A12" s="1562">
        <v>1105</v>
      </c>
      <c r="B12" s="1562" t="s">
        <v>1771</v>
      </c>
      <c r="C12" s="1556">
        <v>10000000</v>
      </c>
      <c r="D12" s="1556">
        <v>40000000</v>
      </c>
      <c r="E12" s="1685">
        <f>+C12-D12</f>
        <v>-30000000</v>
      </c>
      <c r="F12" s="1686">
        <f>+(C12-D12)/D12</f>
        <v>-0.75</v>
      </c>
      <c r="G12" s="1574" t="s">
        <v>1851</v>
      </c>
      <c r="H12" s="1573">
        <f>+C12/$C$51</f>
        <v>5.0316561701203698E-7</v>
      </c>
      <c r="I12" s="1288"/>
      <c r="J12" s="1578">
        <f>+F12</f>
        <v>-0.75</v>
      </c>
      <c r="K12" s="1284"/>
      <c r="L12" s="1282" t="s">
        <v>1353</v>
      </c>
      <c r="M12" s="1281"/>
      <c r="N12" s="1282" t="s">
        <v>1353</v>
      </c>
      <c r="O12" s="1284" t="s">
        <v>1892</v>
      </c>
      <c r="P12" s="1284" t="s">
        <v>1353</v>
      </c>
      <c r="Q12" s="1284" t="s">
        <v>1353</v>
      </c>
      <c r="R12" s="1582" t="s">
        <v>1353</v>
      </c>
      <c r="S12" s="1914" t="s">
        <v>1893</v>
      </c>
    </row>
    <row r="13" spans="1:19" s="1285" customFormat="1" ht="13.9" customHeight="1" x14ac:dyDescent="0.2">
      <c r="A13" s="1562">
        <v>1110</v>
      </c>
      <c r="B13" s="1562" t="s">
        <v>913</v>
      </c>
      <c r="C13" s="1556">
        <v>170192789315</v>
      </c>
      <c r="D13" s="1556">
        <v>386587616144</v>
      </c>
      <c r="E13" s="1685">
        <f t="shared" ref="E13:E60" si="0">+C13-D13</f>
        <v>-216394826829</v>
      </c>
      <c r="F13" s="1686">
        <f t="shared" ref="F13:F60" si="1">+(C13-D13)/D13</f>
        <v>-0.55975623065068669</v>
      </c>
      <c r="G13" s="1577" t="s">
        <v>1852</v>
      </c>
      <c r="H13" s="1573">
        <f t="shared" ref="H13:H60" si="2">+C13/$C$51</f>
        <v>8.5635159846681585E-3</v>
      </c>
      <c r="I13" s="1288"/>
      <c r="J13" s="1578">
        <f>+F13</f>
        <v>-0.55975623065068669</v>
      </c>
      <c r="K13" s="1284"/>
      <c r="L13" s="1282" t="s">
        <v>1353</v>
      </c>
      <c r="M13" s="1281"/>
      <c r="N13" s="1282" t="s">
        <v>1353</v>
      </c>
      <c r="O13" s="1284" t="s">
        <v>166</v>
      </c>
      <c r="P13" s="1284" t="s">
        <v>1353</v>
      </c>
      <c r="Q13" s="1284" t="s">
        <v>1353</v>
      </c>
      <c r="R13" s="1582" t="s">
        <v>1353</v>
      </c>
      <c r="S13" s="1916"/>
    </row>
    <row r="14" spans="1:19" s="1285" customFormat="1" ht="13.9" customHeight="1" x14ac:dyDescent="0.2">
      <c r="A14" s="1562">
        <v>1132</v>
      </c>
      <c r="B14" s="1562" t="s">
        <v>915</v>
      </c>
      <c r="C14" s="1556">
        <v>78450000</v>
      </c>
      <c r="D14" s="1556">
        <v>78450000</v>
      </c>
      <c r="E14" s="1685">
        <f t="shared" si="0"/>
        <v>0</v>
      </c>
      <c r="F14" s="1686">
        <f t="shared" si="1"/>
        <v>0</v>
      </c>
      <c r="G14" s="1687" t="s">
        <v>1849</v>
      </c>
      <c r="H14" s="1573">
        <f t="shared" si="2"/>
        <v>3.9473342654594302E-6</v>
      </c>
      <c r="I14" s="1288"/>
      <c r="J14" s="1284"/>
      <c r="K14" s="1284"/>
      <c r="L14" s="1281"/>
      <c r="M14" s="1281"/>
      <c r="N14" s="1282"/>
      <c r="O14" s="1284"/>
      <c r="P14" s="1284" t="s">
        <v>1353</v>
      </c>
      <c r="Q14" s="1284" t="s">
        <v>1353</v>
      </c>
      <c r="R14" s="1582"/>
      <c r="S14" s="1288"/>
    </row>
    <row r="15" spans="1:19" s="1285" customFormat="1" ht="13.9" customHeight="1" x14ac:dyDescent="0.2">
      <c r="A15" s="1562">
        <v>1223</v>
      </c>
      <c r="B15" s="1562" t="s">
        <v>1772</v>
      </c>
      <c r="C15" s="1556">
        <v>0</v>
      </c>
      <c r="D15" s="1556">
        <v>1067590066596</v>
      </c>
      <c r="E15" s="1685">
        <f t="shared" si="0"/>
        <v>-1067590066596</v>
      </c>
      <c r="F15" s="1686">
        <f t="shared" si="1"/>
        <v>-1</v>
      </c>
      <c r="G15" s="1900" t="s">
        <v>1855</v>
      </c>
      <c r="H15" s="1573">
        <f t="shared" si="2"/>
        <v>0</v>
      </c>
      <c r="I15" s="1288"/>
      <c r="J15" s="1578">
        <f>+F15</f>
        <v>-1</v>
      </c>
      <c r="K15" s="1284"/>
      <c r="L15" s="1281"/>
      <c r="M15" s="1281"/>
      <c r="N15" s="1282" t="s">
        <v>1353</v>
      </c>
      <c r="O15" s="1284"/>
      <c r="P15" s="1284" t="s">
        <v>1353</v>
      </c>
      <c r="Q15" s="1284" t="s">
        <v>1353</v>
      </c>
      <c r="R15" s="1582"/>
      <c r="S15" s="1288"/>
    </row>
    <row r="16" spans="1:19" s="1285" customFormat="1" ht="13.9" customHeight="1" x14ac:dyDescent="0.2">
      <c r="A16" s="1562">
        <v>1224</v>
      </c>
      <c r="B16" s="1562" t="s">
        <v>1773</v>
      </c>
      <c r="C16" s="1556">
        <v>20528265006</v>
      </c>
      <c r="D16" s="1556">
        <v>20528265006</v>
      </c>
      <c r="E16" s="1685">
        <f t="shared" si="0"/>
        <v>0</v>
      </c>
      <c r="F16" s="1686">
        <f t="shared" si="1"/>
        <v>0</v>
      </c>
      <c r="G16" s="1901"/>
      <c r="H16" s="1573">
        <f t="shared" si="2"/>
        <v>1.0329117127930597E-3</v>
      </c>
      <c r="I16" s="1288"/>
      <c r="J16" s="1284"/>
      <c r="K16" s="1284"/>
      <c r="L16" s="1281"/>
      <c r="M16" s="1281"/>
      <c r="N16" s="1282"/>
      <c r="O16" s="1284"/>
      <c r="P16" s="1284" t="s">
        <v>1353</v>
      </c>
      <c r="Q16" s="1284" t="s">
        <v>1353</v>
      </c>
      <c r="R16" s="1582"/>
      <c r="S16" s="1288"/>
    </row>
    <row r="17" spans="1:20" s="1285" customFormat="1" ht="13.9" customHeight="1" x14ac:dyDescent="0.2">
      <c r="A17" s="1562">
        <v>1311</v>
      </c>
      <c r="B17" s="1562" t="s">
        <v>1774</v>
      </c>
      <c r="C17" s="1556">
        <f>4264162892+22227722397</f>
        <v>26491885289</v>
      </c>
      <c r="D17" s="1556">
        <v>43839214623</v>
      </c>
      <c r="E17" s="1685">
        <f t="shared" si="0"/>
        <v>-17347329334</v>
      </c>
      <c r="F17" s="1686">
        <f t="shared" si="1"/>
        <v>-0.39570346967162179</v>
      </c>
      <c r="G17" s="1900" t="s">
        <v>1857</v>
      </c>
      <c r="H17" s="1573">
        <f t="shared" si="2"/>
        <v>1.332980580725179E-3</v>
      </c>
      <c r="I17" s="1288"/>
      <c r="J17" s="1284"/>
      <c r="K17" s="1284"/>
      <c r="L17" s="1281"/>
      <c r="M17" s="1281"/>
      <c r="N17" s="1282"/>
      <c r="O17" s="1284" t="s">
        <v>165</v>
      </c>
      <c r="P17" s="1288"/>
      <c r="Q17" s="1284"/>
      <c r="R17" s="1582" t="s">
        <v>1353</v>
      </c>
      <c r="S17" s="1288" t="s">
        <v>1894</v>
      </c>
      <c r="T17" s="1285" t="s">
        <v>144</v>
      </c>
    </row>
    <row r="18" spans="1:20" s="1285" customFormat="1" ht="13.9" customHeight="1" x14ac:dyDescent="0.2">
      <c r="A18" s="1562">
        <v>1337</v>
      </c>
      <c r="B18" s="1562" t="s">
        <v>1775</v>
      </c>
      <c r="C18" s="1556">
        <v>153887160072</v>
      </c>
      <c r="D18" s="1556">
        <v>182834200391</v>
      </c>
      <c r="E18" s="1685">
        <f t="shared" si="0"/>
        <v>-28947040319</v>
      </c>
      <c r="F18" s="1686">
        <f t="shared" si="1"/>
        <v>-0.15832399111925077</v>
      </c>
      <c r="G18" s="1902"/>
      <c r="H18" s="1573">
        <f t="shared" si="2"/>
        <v>7.7430727847857981E-3</v>
      </c>
      <c r="I18" s="1288"/>
      <c r="J18" s="1284"/>
      <c r="K18" s="1284"/>
      <c r="L18" s="1281"/>
      <c r="M18" s="1281"/>
      <c r="N18" s="1282"/>
      <c r="O18" s="1284" t="s">
        <v>165</v>
      </c>
      <c r="P18" s="1288"/>
      <c r="Q18" s="1284"/>
      <c r="R18" s="1582"/>
      <c r="S18" s="1288"/>
    </row>
    <row r="19" spans="1:20" s="1285" customFormat="1" ht="13.9" customHeight="1" x14ac:dyDescent="0.2">
      <c r="A19" s="1562">
        <v>1338</v>
      </c>
      <c r="B19" s="1562" t="s">
        <v>1776</v>
      </c>
      <c r="C19" s="1556">
        <v>1192186</v>
      </c>
      <c r="D19" s="1556">
        <v>921958</v>
      </c>
      <c r="E19" s="1685">
        <f t="shared" si="0"/>
        <v>270228</v>
      </c>
      <c r="F19" s="1686">
        <f t="shared" si="1"/>
        <v>0.29310228882443667</v>
      </c>
      <c r="G19" s="1902"/>
      <c r="H19" s="1573">
        <f t="shared" si="2"/>
        <v>5.9986700428311226E-8</v>
      </c>
      <c r="I19" s="1288"/>
      <c r="J19" s="1284"/>
      <c r="K19" s="1284"/>
      <c r="L19" s="1281"/>
      <c r="M19" s="1281"/>
      <c r="N19" s="1282"/>
      <c r="O19" s="1284" t="s">
        <v>165</v>
      </c>
      <c r="P19" s="1288"/>
      <c r="Q19" s="1284"/>
      <c r="R19" s="1582"/>
      <c r="S19" s="1288"/>
    </row>
    <row r="20" spans="1:20" s="1285" customFormat="1" ht="13.9" customHeight="1" x14ac:dyDescent="0.2">
      <c r="A20" s="1562">
        <v>1384</v>
      </c>
      <c r="B20" s="1562" t="s">
        <v>916</v>
      </c>
      <c r="C20" s="1556">
        <f>44222227501+30688249829</f>
        <v>74910477330</v>
      </c>
      <c r="D20" s="1556">
        <v>31240934094</v>
      </c>
      <c r="E20" s="1685">
        <f t="shared" si="0"/>
        <v>43669543236</v>
      </c>
      <c r="F20" s="1686">
        <f t="shared" si="1"/>
        <v>1.3978309068673778</v>
      </c>
      <c r="G20" s="1902"/>
      <c r="H20" s="1573">
        <f t="shared" si="2"/>
        <v>3.7692376546415657E-3</v>
      </c>
      <c r="I20" s="1288"/>
      <c r="J20" s="1578">
        <f>+F20</f>
        <v>1.3978309068673778</v>
      </c>
      <c r="K20" s="1284"/>
      <c r="L20" s="1281"/>
      <c r="M20" s="1281"/>
      <c r="N20" s="1282" t="s">
        <v>1353</v>
      </c>
      <c r="O20" s="1284" t="s">
        <v>165</v>
      </c>
      <c r="P20" s="1288"/>
      <c r="Q20" s="1284" t="s">
        <v>1353</v>
      </c>
      <c r="R20" s="1582" t="s">
        <v>1353</v>
      </c>
      <c r="S20" s="1288" t="s">
        <v>1894</v>
      </c>
      <c r="T20" s="1285" t="s">
        <v>144</v>
      </c>
    </row>
    <row r="21" spans="1:20" s="1285" customFormat="1" ht="13.9" customHeight="1" x14ac:dyDescent="0.2">
      <c r="A21" s="1562">
        <v>1386</v>
      </c>
      <c r="B21" s="1562" t="s">
        <v>1777</v>
      </c>
      <c r="C21" s="1556">
        <v>-12951200774</v>
      </c>
      <c r="D21" s="1556">
        <v>-12748581549</v>
      </c>
      <c r="E21" s="1685">
        <f t="shared" si="0"/>
        <v>-202619225</v>
      </c>
      <c r="F21" s="1686">
        <f t="shared" si="1"/>
        <v>1.5893472087166707E-2</v>
      </c>
      <c r="G21" s="1901"/>
      <c r="H21" s="1573">
        <f t="shared" si="2"/>
        <v>-6.5165989284964813E-4</v>
      </c>
      <c r="I21" s="1288"/>
      <c r="J21" s="1284"/>
      <c r="K21" s="1284"/>
      <c r="L21" s="1281"/>
      <c r="M21" s="1281"/>
      <c r="N21" s="1282"/>
      <c r="O21" s="1284" t="s">
        <v>165</v>
      </c>
      <c r="P21" s="1288"/>
      <c r="Q21" s="1284"/>
      <c r="R21" s="1582"/>
      <c r="S21" s="1288"/>
    </row>
    <row r="22" spans="1:20" s="1285" customFormat="1" ht="13.9" customHeight="1" x14ac:dyDescent="0.2">
      <c r="A22" s="1562">
        <v>1510</v>
      </c>
      <c r="B22" s="1562" t="s">
        <v>1778</v>
      </c>
      <c r="C22" s="1556">
        <v>7543221116</v>
      </c>
      <c r="D22" s="1556">
        <v>7438746939</v>
      </c>
      <c r="E22" s="1685">
        <f t="shared" si="0"/>
        <v>104474177</v>
      </c>
      <c r="F22" s="1686">
        <f t="shared" si="1"/>
        <v>1.404459351241818E-2</v>
      </c>
      <c r="G22" s="1900" t="s">
        <v>1856</v>
      </c>
      <c r="H22" s="1573">
        <f t="shared" si="2"/>
        <v>3.7954895070903662E-4</v>
      </c>
      <c r="I22" s="1288"/>
      <c r="J22" s="1284"/>
      <c r="K22" s="1284"/>
      <c r="L22" s="1281"/>
      <c r="M22" s="1281"/>
      <c r="N22" s="1282"/>
      <c r="O22" s="1284" t="s">
        <v>165</v>
      </c>
      <c r="P22" s="1288"/>
      <c r="Q22" s="1284"/>
      <c r="R22" s="1582"/>
      <c r="S22" s="1288"/>
    </row>
    <row r="23" spans="1:20" s="1285" customFormat="1" ht="13.9" customHeight="1" x14ac:dyDescent="0.2">
      <c r="A23" s="1562">
        <v>1530</v>
      </c>
      <c r="B23" s="1562" t="s">
        <v>1779</v>
      </c>
      <c r="C23" s="1556">
        <v>310778100</v>
      </c>
      <c r="D23" s="1556">
        <v>319877687</v>
      </c>
      <c r="E23" s="1685">
        <f t="shared" si="0"/>
        <v>-9099587</v>
      </c>
      <c r="F23" s="1686">
        <f t="shared" si="1"/>
        <v>-2.8447082650063054E-2</v>
      </c>
      <c r="G23" s="1902"/>
      <c r="H23" s="1573">
        <f t="shared" si="2"/>
        <v>1.5637285444032854E-5</v>
      </c>
      <c r="I23" s="1288"/>
      <c r="J23" s="1284"/>
      <c r="K23" s="1284"/>
      <c r="L23" s="1281"/>
      <c r="M23" s="1281"/>
      <c r="N23" s="1282"/>
      <c r="O23" s="1284" t="s">
        <v>165</v>
      </c>
      <c r="P23" s="1288"/>
      <c r="Q23" s="1284"/>
      <c r="R23" s="1582"/>
      <c r="S23" s="1288"/>
    </row>
    <row r="24" spans="1:20" s="1285" customFormat="1" ht="13.9" customHeight="1" x14ac:dyDescent="0.2">
      <c r="A24" s="1562">
        <v>1580</v>
      </c>
      <c r="B24" s="1562" t="s">
        <v>1783</v>
      </c>
      <c r="C24" s="1556">
        <v>-130971089</v>
      </c>
      <c r="D24" s="1556">
        <v>-186601245</v>
      </c>
      <c r="E24" s="1685">
        <f t="shared" si="0"/>
        <v>55630156</v>
      </c>
      <c r="F24" s="1686">
        <f t="shared" si="1"/>
        <v>-0.29812317704525498</v>
      </c>
      <c r="G24" s="1901"/>
      <c r="H24" s="1573">
        <f t="shared" si="2"/>
        <v>-6.5900148807423407E-6</v>
      </c>
      <c r="I24" s="1288"/>
      <c r="J24" s="1284"/>
      <c r="K24" s="1284"/>
      <c r="L24" s="1281"/>
      <c r="M24" s="1281"/>
      <c r="N24" s="1282"/>
      <c r="O24" s="1284" t="s">
        <v>165</v>
      </c>
      <c r="P24" s="1288"/>
      <c r="Q24" s="1284"/>
      <c r="R24" s="1582"/>
      <c r="S24" s="1288"/>
    </row>
    <row r="25" spans="1:20" s="1285" customFormat="1" ht="13.9" customHeight="1" x14ac:dyDescent="0.2">
      <c r="A25" s="1562">
        <v>1605</v>
      </c>
      <c r="B25" s="1562" t="s">
        <v>918</v>
      </c>
      <c r="C25" s="1556">
        <v>66177200768</v>
      </c>
      <c r="D25" s="1556">
        <v>81943550768</v>
      </c>
      <c r="E25" s="1685">
        <f t="shared" si="0"/>
        <v>-15766350000</v>
      </c>
      <c r="F25" s="1686">
        <f t="shared" si="1"/>
        <v>-0.19240501360061835</v>
      </c>
      <c r="G25" s="1918" t="s">
        <v>1858</v>
      </c>
      <c r="H25" s="1573">
        <f t="shared" si="2"/>
        <v>3.3298092056560169E-3</v>
      </c>
      <c r="I25" s="1288"/>
      <c r="J25" s="1284"/>
      <c r="K25" s="1284"/>
      <c r="L25" s="1281"/>
      <c r="M25" s="1281"/>
      <c r="N25" s="1282"/>
      <c r="O25" s="1284"/>
      <c r="P25" s="1288"/>
      <c r="Q25" s="1284"/>
      <c r="R25" s="1582"/>
      <c r="S25" s="1288"/>
    </row>
    <row r="26" spans="1:20" s="1285" customFormat="1" ht="13.9" customHeight="1" x14ac:dyDescent="0.2">
      <c r="A26" s="1562">
        <v>1635</v>
      </c>
      <c r="B26" s="1562" t="s">
        <v>1780</v>
      </c>
      <c r="C26" s="1556">
        <v>0</v>
      </c>
      <c r="D26" s="1556">
        <v>2149446488</v>
      </c>
      <c r="E26" s="1685">
        <f t="shared" si="0"/>
        <v>-2149446488</v>
      </c>
      <c r="F26" s="1686">
        <f t="shared" si="1"/>
        <v>-1</v>
      </c>
      <c r="G26" s="1919"/>
      <c r="H26" s="1573">
        <f t="shared" si="2"/>
        <v>0</v>
      </c>
      <c r="I26" s="1288"/>
      <c r="J26" s="1578">
        <f>+F26</f>
        <v>-1</v>
      </c>
      <c r="K26" s="1284"/>
      <c r="L26" s="1281"/>
      <c r="M26" s="1281"/>
      <c r="N26" s="1282" t="s">
        <v>1353</v>
      </c>
      <c r="O26" s="1284"/>
      <c r="P26" s="1288"/>
      <c r="Q26" s="1284" t="s">
        <v>1353</v>
      </c>
      <c r="R26" s="1582" t="s">
        <v>1353</v>
      </c>
      <c r="S26" s="1288" t="s">
        <v>1895</v>
      </c>
      <c r="T26" s="1285" t="s">
        <v>144</v>
      </c>
    </row>
    <row r="27" spans="1:20" s="1285" customFormat="1" ht="13.9" customHeight="1" x14ac:dyDescent="0.2">
      <c r="A27" s="1562">
        <v>1637</v>
      </c>
      <c r="B27" s="1288" t="s">
        <v>1781</v>
      </c>
      <c r="C27" s="1556">
        <v>7400614696</v>
      </c>
      <c r="D27" s="1556">
        <v>7862371389</v>
      </c>
      <c r="E27" s="1685">
        <f t="shared" si="0"/>
        <v>-461756693</v>
      </c>
      <c r="F27" s="1686">
        <f t="shared" si="1"/>
        <v>-5.8729951836926642E-2</v>
      </c>
      <c r="G27" s="1919"/>
      <c r="H27" s="1573">
        <f t="shared" si="2"/>
        <v>3.7237348597811887E-4</v>
      </c>
      <c r="I27" s="1288"/>
      <c r="J27" s="1284"/>
      <c r="K27" s="1284"/>
      <c r="L27" s="1281"/>
      <c r="M27" s="1281"/>
      <c r="N27" s="1282"/>
      <c r="O27" s="1284"/>
      <c r="P27" s="1288"/>
      <c r="Q27" s="1284"/>
      <c r="R27" s="1582"/>
      <c r="S27" s="1288"/>
    </row>
    <row r="28" spans="1:20" s="1285" customFormat="1" ht="13.9" customHeight="1" x14ac:dyDescent="0.2">
      <c r="A28" s="1562">
        <v>1640</v>
      </c>
      <c r="B28" s="1288" t="s">
        <v>920</v>
      </c>
      <c r="C28" s="1556">
        <v>30485226072</v>
      </c>
      <c r="D28" s="1556">
        <v>30561948052</v>
      </c>
      <c r="E28" s="1685">
        <f t="shared" si="0"/>
        <v>-76721980</v>
      </c>
      <c r="F28" s="1686">
        <f t="shared" si="1"/>
        <v>-2.5103759704538614E-3</v>
      </c>
      <c r="G28" s="1919"/>
      <c r="H28" s="1573">
        <f t="shared" si="2"/>
        <v>1.5339117586269317E-3</v>
      </c>
      <c r="I28" s="1288"/>
      <c r="J28" s="1284"/>
      <c r="K28" s="1284"/>
      <c r="L28" s="1281"/>
      <c r="M28" s="1281"/>
      <c r="N28" s="1282"/>
      <c r="O28" s="1284"/>
      <c r="P28" s="1288"/>
      <c r="Q28" s="1284"/>
      <c r="R28" s="1582"/>
      <c r="S28" s="1288"/>
    </row>
    <row r="29" spans="1:20" s="1285" customFormat="1" ht="13.9" customHeight="1" x14ac:dyDescent="0.2">
      <c r="A29" s="1562">
        <v>1650</v>
      </c>
      <c r="B29" s="1288" t="s">
        <v>1782</v>
      </c>
      <c r="C29" s="1556">
        <v>873842885</v>
      </c>
      <c r="D29" s="1556">
        <v>889518651</v>
      </c>
      <c r="E29" s="1685">
        <f t="shared" si="0"/>
        <v>-15675766</v>
      </c>
      <c r="F29" s="1686">
        <f t="shared" si="1"/>
        <v>-1.7622751341275698E-2</v>
      </c>
      <c r="G29" s="1919"/>
      <c r="H29" s="1573">
        <f t="shared" si="2"/>
        <v>4.396876944026035E-5</v>
      </c>
      <c r="I29" s="1288"/>
      <c r="J29" s="1284"/>
      <c r="K29" s="1284"/>
      <c r="L29" s="1281"/>
      <c r="M29" s="1281"/>
      <c r="N29" s="1282"/>
      <c r="O29" s="1284"/>
      <c r="P29" s="1288"/>
      <c r="Q29" s="1284"/>
      <c r="R29" s="1582"/>
      <c r="S29" s="1288"/>
    </row>
    <row r="30" spans="1:20" s="1285" customFormat="1" ht="13.9" customHeight="1" x14ac:dyDescent="0.2">
      <c r="A30" s="1562">
        <v>1655</v>
      </c>
      <c r="B30" s="1288" t="s">
        <v>921</v>
      </c>
      <c r="C30" s="1556">
        <v>2159364527</v>
      </c>
      <c r="D30" s="1556">
        <v>2156865527</v>
      </c>
      <c r="E30" s="1685">
        <f t="shared" si="0"/>
        <v>2499000</v>
      </c>
      <c r="F30" s="1686">
        <f t="shared" si="1"/>
        <v>1.1586257783422768E-3</v>
      </c>
      <c r="G30" s="1919"/>
      <c r="H30" s="1573">
        <f t="shared" si="2"/>
        <v>1.0865179845818604E-4</v>
      </c>
      <c r="I30" s="1288"/>
      <c r="J30" s="1284"/>
      <c r="K30" s="1284"/>
      <c r="L30" s="1281"/>
      <c r="M30" s="1281"/>
      <c r="N30" s="1282"/>
      <c r="O30" s="1284"/>
      <c r="P30" s="1288"/>
      <c r="Q30" s="1284"/>
      <c r="R30" s="1582"/>
      <c r="S30" s="1288"/>
    </row>
    <row r="31" spans="1:20" s="1285" customFormat="1" ht="13.9" customHeight="1" x14ac:dyDescent="0.2">
      <c r="A31" s="1562">
        <v>1660</v>
      </c>
      <c r="B31" s="1288" t="s">
        <v>922</v>
      </c>
      <c r="C31" s="1556">
        <v>14775626</v>
      </c>
      <c r="D31" s="1556">
        <v>14775626</v>
      </c>
      <c r="E31" s="1685">
        <f t="shared" si="0"/>
        <v>0</v>
      </c>
      <c r="F31" s="1686">
        <f t="shared" si="1"/>
        <v>0</v>
      </c>
      <c r="G31" s="1919"/>
      <c r="H31" s="1573">
        <f t="shared" si="2"/>
        <v>7.4345869730290962E-7</v>
      </c>
      <c r="I31" s="1288"/>
      <c r="J31" s="1284"/>
      <c r="K31" s="1284"/>
      <c r="L31" s="1281"/>
      <c r="M31" s="1281"/>
      <c r="N31" s="1282"/>
      <c r="O31" s="1284"/>
      <c r="P31" s="1288"/>
      <c r="Q31" s="1284"/>
      <c r="R31" s="1582"/>
      <c r="S31" s="1288"/>
    </row>
    <row r="32" spans="1:20" s="1285" customFormat="1" ht="13.9" customHeight="1" x14ac:dyDescent="0.2">
      <c r="A32" s="1562">
        <v>1665</v>
      </c>
      <c r="B32" s="1288" t="s">
        <v>923</v>
      </c>
      <c r="C32" s="1556">
        <v>2983554281</v>
      </c>
      <c r="D32" s="1556">
        <v>3109640235</v>
      </c>
      <c r="E32" s="1685">
        <f t="shared" si="0"/>
        <v>-126085954</v>
      </c>
      <c r="F32" s="1686">
        <f t="shared" si="1"/>
        <v>-4.0546797851681388E-2</v>
      </c>
      <c r="G32" s="1919"/>
      <c r="H32" s="1573">
        <f t="shared" si="2"/>
        <v>1.5012219306882694E-4</v>
      </c>
      <c r="I32" s="1288"/>
      <c r="J32" s="1284"/>
      <c r="K32" s="1284"/>
      <c r="L32" s="1281"/>
      <c r="M32" s="1281"/>
      <c r="N32" s="1282"/>
      <c r="O32" s="1284"/>
      <c r="P32" s="1288"/>
      <c r="Q32" s="1284"/>
      <c r="R32" s="1582"/>
      <c r="S32" s="1288"/>
    </row>
    <row r="33" spans="1:20" s="1285" customFormat="1" ht="13.9" customHeight="1" x14ac:dyDescent="0.2">
      <c r="A33" s="1562">
        <v>1670</v>
      </c>
      <c r="B33" s="1288" t="s">
        <v>1793</v>
      </c>
      <c r="C33" s="1556">
        <v>21013404288</v>
      </c>
      <c r="D33" s="1556">
        <v>20791597138</v>
      </c>
      <c r="E33" s="1685">
        <f t="shared" si="0"/>
        <v>221807150</v>
      </c>
      <c r="F33" s="1686">
        <f t="shared" si="1"/>
        <v>1.0668115033578235E-2</v>
      </c>
      <c r="G33" s="1919"/>
      <c r="H33" s="1573">
        <f t="shared" si="2"/>
        <v>1.0573222534094903E-3</v>
      </c>
      <c r="I33" s="1288"/>
      <c r="J33" s="1284"/>
      <c r="K33" s="1284"/>
      <c r="L33" s="1281"/>
      <c r="M33" s="1281"/>
      <c r="N33" s="1282"/>
      <c r="O33" s="1284"/>
      <c r="P33" s="1288"/>
      <c r="Q33" s="1284"/>
      <c r="R33" s="1582"/>
      <c r="S33" s="1288"/>
    </row>
    <row r="34" spans="1:20" s="1285" customFormat="1" ht="13.9" customHeight="1" x14ac:dyDescent="0.2">
      <c r="A34" s="1562">
        <v>1675</v>
      </c>
      <c r="B34" s="1288" t="s">
        <v>1784</v>
      </c>
      <c r="C34" s="1556">
        <v>2861184669</v>
      </c>
      <c r="D34" s="1556">
        <v>2861184669</v>
      </c>
      <c r="E34" s="1685">
        <f t="shared" si="0"/>
        <v>0</v>
      </c>
      <c r="F34" s="1686">
        <f t="shared" si="1"/>
        <v>0</v>
      </c>
      <c r="G34" s="1919"/>
      <c r="H34" s="1573">
        <f t="shared" si="2"/>
        <v>1.4396497493627657E-4</v>
      </c>
      <c r="I34" s="1288"/>
      <c r="J34" s="1284"/>
      <c r="K34" s="1284"/>
      <c r="L34" s="1281"/>
      <c r="M34" s="1281"/>
      <c r="N34" s="1282"/>
      <c r="O34" s="1284"/>
      <c r="P34" s="1288"/>
      <c r="Q34" s="1284"/>
      <c r="R34" s="1582"/>
      <c r="S34" s="1288"/>
    </row>
    <row r="35" spans="1:20" s="1285" customFormat="1" ht="13.9" customHeight="1" x14ac:dyDescent="0.2">
      <c r="A35" s="1562">
        <v>1680</v>
      </c>
      <c r="B35" s="1288" t="s">
        <v>1794</v>
      </c>
      <c r="C35" s="1556">
        <v>100357270</v>
      </c>
      <c r="D35" s="1556">
        <v>104895380</v>
      </c>
      <c r="E35" s="1685">
        <f t="shared" si="0"/>
        <v>-4538110</v>
      </c>
      <c r="F35" s="1686">
        <f t="shared" si="1"/>
        <v>-4.32632018683759E-2</v>
      </c>
      <c r="G35" s="1919"/>
      <c r="H35" s="1573">
        <f t="shared" si="2"/>
        <v>5.049632768119359E-6</v>
      </c>
      <c r="I35" s="1288"/>
      <c r="J35" s="1284"/>
      <c r="K35" s="1284"/>
      <c r="L35" s="1281"/>
      <c r="M35" s="1281"/>
      <c r="N35" s="1282"/>
      <c r="O35" s="1284"/>
      <c r="P35" s="1288"/>
      <c r="Q35" s="1284"/>
      <c r="R35" s="1582"/>
      <c r="S35" s="1288"/>
    </row>
    <row r="36" spans="1:20" s="1285" customFormat="1" ht="13.9" customHeight="1" x14ac:dyDescent="0.2">
      <c r="A36" s="1562">
        <v>1685</v>
      </c>
      <c r="B36" s="1288" t="s">
        <v>1809</v>
      </c>
      <c r="C36" s="1556">
        <v>-28729866660</v>
      </c>
      <c r="D36" s="1556">
        <v>-27484250083</v>
      </c>
      <c r="E36" s="1685">
        <f t="shared" si="0"/>
        <v>-1245616577</v>
      </c>
      <c r="F36" s="1686">
        <f t="shared" si="1"/>
        <v>4.5321104750478847E-2</v>
      </c>
      <c r="G36" s="1919"/>
      <c r="H36" s="1573">
        <f t="shared" si="2"/>
        <v>-1.4455881084652451E-3</v>
      </c>
      <c r="I36" s="1288"/>
      <c r="J36" s="1284"/>
      <c r="K36" s="1284"/>
      <c r="L36" s="1281"/>
      <c r="M36" s="1281"/>
      <c r="N36" s="1282"/>
      <c r="O36" s="1284"/>
      <c r="P36" s="1288"/>
      <c r="Q36" s="1284"/>
      <c r="R36" s="1582"/>
      <c r="S36" s="1288"/>
    </row>
    <row r="37" spans="1:20" s="1285" customFormat="1" ht="13.9" customHeight="1" x14ac:dyDescent="0.2">
      <c r="A37" s="1562">
        <v>1695</v>
      </c>
      <c r="B37" s="1288" t="s">
        <v>1795</v>
      </c>
      <c r="C37" s="1556">
        <v>-1576313006</v>
      </c>
      <c r="D37" s="1556">
        <v>-1891810241</v>
      </c>
      <c r="E37" s="1685">
        <f t="shared" si="0"/>
        <v>315497235</v>
      </c>
      <c r="F37" s="1686">
        <f t="shared" si="1"/>
        <v>-0.16677002172967939</v>
      </c>
      <c r="G37" s="1920"/>
      <c r="H37" s="1573">
        <f t="shared" si="2"/>
        <v>-7.9314650626808878E-5</v>
      </c>
      <c r="I37" s="1288"/>
      <c r="J37" s="1284"/>
      <c r="K37" s="1284"/>
      <c r="L37" s="1281"/>
      <c r="M37" s="1281"/>
      <c r="N37" s="1282"/>
      <c r="O37" s="1284"/>
      <c r="P37" s="1288"/>
      <c r="Q37" s="1284"/>
      <c r="R37" s="1582"/>
      <c r="S37" s="1288"/>
    </row>
    <row r="38" spans="1:20" s="1285" customFormat="1" ht="13.9" customHeight="1" x14ac:dyDescent="0.2">
      <c r="A38" s="1562">
        <v>1705</v>
      </c>
      <c r="B38" s="1288" t="s">
        <v>1785</v>
      </c>
      <c r="C38" s="1556">
        <v>5287286580229</v>
      </c>
      <c r="D38" s="1556">
        <v>4139189313042</v>
      </c>
      <c r="E38" s="1685">
        <f t="shared" si="0"/>
        <v>1148097267187</v>
      </c>
      <c r="F38" s="1686">
        <f t="shared" si="1"/>
        <v>0.27737249503652994</v>
      </c>
      <c r="G38" s="1900" t="s">
        <v>1859</v>
      </c>
      <c r="H38" s="1573">
        <f t="shared" si="2"/>
        <v>0.2660380814460388</v>
      </c>
      <c r="I38" s="1288" t="s">
        <v>494</v>
      </c>
      <c r="J38" s="1284"/>
      <c r="K38" s="1581">
        <f>+H38</f>
        <v>0.2660380814460388</v>
      </c>
      <c r="L38" s="1281"/>
      <c r="M38" s="1281"/>
      <c r="N38" s="1282" t="s">
        <v>1353</v>
      </c>
      <c r="O38" s="1284"/>
      <c r="P38" s="1288"/>
      <c r="Q38" s="1284" t="s">
        <v>1353</v>
      </c>
      <c r="R38" s="1582" t="s">
        <v>1353</v>
      </c>
      <c r="S38" s="1914" t="s">
        <v>1896</v>
      </c>
    </row>
    <row r="39" spans="1:20" s="1285" customFormat="1" ht="13.9" customHeight="1" x14ac:dyDescent="0.2">
      <c r="A39" s="1562">
        <v>1710</v>
      </c>
      <c r="B39" s="1288" t="s">
        <v>1786</v>
      </c>
      <c r="C39" s="1556">
        <v>18187255276490</v>
      </c>
      <c r="D39" s="1556">
        <v>16929606586752</v>
      </c>
      <c r="E39" s="1685">
        <f t="shared" si="0"/>
        <v>1257648689738</v>
      </c>
      <c r="F39" s="1686">
        <f t="shared" si="1"/>
        <v>7.4286941240687382E-2</v>
      </c>
      <c r="G39" s="1902"/>
      <c r="H39" s="1573">
        <f t="shared" si="2"/>
        <v>0.91512015229505161</v>
      </c>
      <c r="I39" s="1288" t="s">
        <v>494</v>
      </c>
      <c r="J39" s="1284"/>
      <c r="K39" s="1581">
        <f>+H39</f>
        <v>0.91512015229505161</v>
      </c>
      <c r="L39" s="1281"/>
      <c r="M39" s="1281"/>
      <c r="N39" s="1282" t="s">
        <v>1353</v>
      </c>
      <c r="O39" s="1284"/>
      <c r="P39" s="1288"/>
      <c r="Q39" s="1284" t="s">
        <v>1353</v>
      </c>
      <c r="R39" s="1582" t="s">
        <v>1353</v>
      </c>
      <c r="S39" s="1916"/>
    </row>
    <row r="40" spans="1:20" s="1285" customFormat="1" ht="13.9" customHeight="1" x14ac:dyDescent="0.2">
      <c r="A40" s="1562">
        <v>1785</v>
      </c>
      <c r="B40" s="1288" t="s">
        <v>1796</v>
      </c>
      <c r="C40" s="1556">
        <v>-5684721118148</v>
      </c>
      <c r="D40" s="1556">
        <v>-5484345692183</v>
      </c>
      <c r="E40" s="1685">
        <f t="shared" si="0"/>
        <v>-200375425965</v>
      </c>
      <c r="F40" s="1686">
        <f t="shared" si="1"/>
        <v>3.6535885447666255E-2</v>
      </c>
      <c r="G40" s="1901"/>
      <c r="H40" s="1573">
        <f t="shared" si="2"/>
        <v>-0.2860356208954295</v>
      </c>
      <c r="I40" s="1288" t="s">
        <v>494</v>
      </c>
      <c r="J40" s="1284"/>
      <c r="K40" s="1581">
        <f>+H40</f>
        <v>-0.2860356208954295</v>
      </c>
      <c r="L40" s="1281"/>
      <c r="M40" s="1281"/>
      <c r="N40" s="1282" t="s">
        <v>1353</v>
      </c>
      <c r="O40" s="1284"/>
      <c r="P40" s="1288"/>
      <c r="Q40" s="1284" t="s">
        <v>1353</v>
      </c>
      <c r="R40" s="1582"/>
      <c r="S40" s="1288"/>
    </row>
    <row r="41" spans="1:20" s="1285" customFormat="1" ht="13.9" customHeight="1" x14ac:dyDescent="0.2">
      <c r="A41" s="1562">
        <v>1902</v>
      </c>
      <c r="B41" s="1288" t="s">
        <v>1787</v>
      </c>
      <c r="C41" s="1556">
        <v>899670410</v>
      </c>
      <c r="D41" s="1556">
        <v>903630634</v>
      </c>
      <c r="E41" s="1685">
        <f t="shared" si="0"/>
        <v>-3960224</v>
      </c>
      <c r="F41" s="1686">
        <f t="shared" si="1"/>
        <v>-4.3825694382114101E-3</v>
      </c>
      <c r="G41" s="1577" t="s">
        <v>1860</v>
      </c>
      <c r="H41" s="1573">
        <f t="shared" si="2"/>
        <v>4.526832169551223E-5</v>
      </c>
      <c r="I41" s="1288"/>
      <c r="J41" s="1284"/>
      <c r="K41" s="1284"/>
      <c r="L41" s="1281"/>
      <c r="M41" s="1281"/>
      <c r="N41" s="1282"/>
      <c r="O41" s="1284"/>
      <c r="P41" s="1288"/>
      <c r="Q41" s="1284"/>
      <c r="R41" s="1582"/>
      <c r="S41" s="1288"/>
    </row>
    <row r="42" spans="1:20" s="1285" customFormat="1" ht="13.9" customHeight="1" x14ac:dyDescent="0.2">
      <c r="A42" s="1562">
        <v>1905</v>
      </c>
      <c r="B42" s="1288" t="s">
        <v>924</v>
      </c>
      <c r="C42" s="1556">
        <v>0</v>
      </c>
      <c r="D42" s="1556">
        <v>1409881937</v>
      </c>
      <c r="E42" s="1685">
        <f t="shared" si="0"/>
        <v>-1409881937</v>
      </c>
      <c r="F42" s="1686">
        <f t="shared" si="1"/>
        <v>-1</v>
      </c>
      <c r="G42" s="1577" t="s">
        <v>1861</v>
      </c>
      <c r="H42" s="1573">
        <f t="shared" si="2"/>
        <v>0</v>
      </c>
      <c r="I42" s="1288"/>
      <c r="J42" s="1573">
        <f>+F42</f>
        <v>-1</v>
      </c>
      <c r="K42" s="1284"/>
      <c r="L42" s="1281"/>
      <c r="M42" s="1281"/>
      <c r="N42" s="1282" t="s">
        <v>1353</v>
      </c>
      <c r="O42" s="1284"/>
      <c r="P42" s="1288"/>
      <c r="Q42" s="1284" t="s">
        <v>1353</v>
      </c>
      <c r="R42" s="1582"/>
      <c r="S42" s="1288"/>
    </row>
    <row r="43" spans="1:20" s="1285" customFormat="1" ht="13.9" customHeight="1" x14ac:dyDescent="0.2">
      <c r="A43" s="1562">
        <v>1906</v>
      </c>
      <c r="B43" s="1288" t="s">
        <v>1788</v>
      </c>
      <c r="C43" s="1556">
        <f>55796948065+168747946635</f>
        <v>224544894700</v>
      </c>
      <c r="D43" s="1556">
        <v>251343879707</v>
      </c>
      <c r="E43" s="1685">
        <f t="shared" si="0"/>
        <v>-26798985007</v>
      </c>
      <c r="F43" s="1686">
        <f t="shared" si="1"/>
        <v>-0.10662278722776332</v>
      </c>
      <c r="G43" s="1577" t="s">
        <v>1862</v>
      </c>
      <c r="H43" s="1573">
        <f t="shared" si="2"/>
        <v>1.1298327048862838E-2</v>
      </c>
      <c r="I43" s="1288"/>
      <c r="J43" s="1284"/>
      <c r="K43" s="1284"/>
      <c r="L43" s="1281"/>
      <c r="M43" s="1281"/>
      <c r="N43" s="1282"/>
      <c r="O43" s="1284" t="s">
        <v>165</v>
      </c>
      <c r="P43" s="1288"/>
      <c r="Q43" s="1284"/>
      <c r="R43" s="1582" t="s">
        <v>1353</v>
      </c>
      <c r="S43" s="1288" t="s">
        <v>1895</v>
      </c>
      <c r="T43" s="1285" t="s">
        <v>144</v>
      </c>
    </row>
    <row r="44" spans="1:20" s="1285" customFormat="1" ht="13.9" customHeight="1" x14ac:dyDescent="0.2">
      <c r="A44" s="1562">
        <v>1907</v>
      </c>
      <c r="B44" s="1288" t="s">
        <v>1797</v>
      </c>
      <c r="C44" s="1556">
        <v>31679447</v>
      </c>
      <c r="D44" s="1556">
        <v>29366809</v>
      </c>
      <c r="E44" s="1685">
        <f t="shared" si="0"/>
        <v>2312638</v>
      </c>
      <c r="F44" s="1686">
        <f t="shared" si="1"/>
        <v>7.8750060995731605E-2</v>
      </c>
      <c r="G44" s="1577" t="s">
        <v>1868</v>
      </c>
      <c r="H44" s="1573">
        <f t="shared" si="2"/>
        <v>1.5940008496355124E-6</v>
      </c>
      <c r="I44" s="1288"/>
      <c r="J44" s="1284"/>
      <c r="K44" s="1284"/>
      <c r="L44" s="1281"/>
      <c r="M44" s="1281"/>
      <c r="N44" s="1282"/>
      <c r="O44" s="1284" t="s">
        <v>165</v>
      </c>
      <c r="P44" s="1288"/>
      <c r="Q44" s="1284"/>
      <c r="R44" s="1582"/>
      <c r="S44" s="1288"/>
    </row>
    <row r="45" spans="1:20" s="1285" customFormat="1" ht="13.9" customHeight="1" x14ac:dyDescent="0.2">
      <c r="A45" s="1562">
        <v>1908</v>
      </c>
      <c r="B45" s="1288" t="s">
        <v>1798</v>
      </c>
      <c r="C45" s="1556">
        <f>597566843107+696938481783</f>
        <v>1294505324890</v>
      </c>
      <c r="D45" s="1556">
        <v>46314829161</v>
      </c>
      <c r="E45" s="1685">
        <f t="shared" si="0"/>
        <v>1248190495729</v>
      </c>
      <c r="F45" s="1686">
        <f t="shared" si="1"/>
        <v>26.950126305983549</v>
      </c>
      <c r="G45" s="1577" t="s">
        <v>1869</v>
      </c>
      <c r="H45" s="1573">
        <f t="shared" si="2"/>
        <v>6.5135057052364428E-2</v>
      </c>
      <c r="I45" s="1288"/>
      <c r="J45" s="1578">
        <f>+F45</f>
        <v>26.950126305983549</v>
      </c>
      <c r="K45" s="1284"/>
      <c r="L45" s="1281"/>
      <c r="M45" s="1281"/>
      <c r="N45" s="1282" t="s">
        <v>1353</v>
      </c>
      <c r="O45" s="1284" t="s">
        <v>165</v>
      </c>
      <c r="P45" s="1288"/>
      <c r="Q45" s="1284" t="s">
        <v>1353</v>
      </c>
      <c r="R45" s="1582"/>
      <c r="S45" s="1288"/>
    </row>
    <row r="46" spans="1:20" s="1285" customFormat="1" ht="13.9" customHeight="1" x14ac:dyDescent="0.2">
      <c r="A46" s="1562">
        <v>1909</v>
      </c>
      <c r="B46" s="1288" t="s">
        <v>1789</v>
      </c>
      <c r="C46" s="1556">
        <v>1039649688</v>
      </c>
      <c r="D46" s="1556">
        <v>1047209688</v>
      </c>
      <c r="E46" s="1685">
        <f t="shared" si="0"/>
        <v>-7560000</v>
      </c>
      <c r="F46" s="1686">
        <f t="shared" si="1"/>
        <v>-7.2191845497899939E-3</v>
      </c>
      <c r="G46" s="1577" t="s">
        <v>1870</v>
      </c>
      <c r="H46" s="1573">
        <f t="shared" si="2"/>
        <v>5.2311597673889175E-5</v>
      </c>
      <c r="I46" s="1288"/>
      <c r="J46" s="1284"/>
      <c r="K46" s="1284"/>
      <c r="L46" s="1281"/>
      <c r="M46" s="1281"/>
      <c r="N46" s="1282"/>
      <c r="O46" s="1284" t="s">
        <v>165</v>
      </c>
      <c r="P46" s="1288"/>
      <c r="Q46" s="1284"/>
      <c r="R46" s="1582"/>
      <c r="S46" s="1288"/>
    </row>
    <row r="47" spans="1:20" s="1285" customFormat="1" ht="13.9" customHeight="1" x14ac:dyDescent="0.2">
      <c r="A47" s="1562">
        <v>1970</v>
      </c>
      <c r="B47" s="1288" t="s">
        <v>1790</v>
      </c>
      <c r="C47" s="1556">
        <v>24111493548</v>
      </c>
      <c r="D47" s="1556">
        <v>23359993548</v>
      </c>
      <c r="E47" s="1685">
        <f t="shared" si="0"/>
        <v>751500000</v>
      </c>
      <c r="F47" s="1686">
        <f t="shared" si="1"/>
        <v>3.2170385597745203E-2</v>
      </c>
      <c r="G47" s="1900" t="s">
        <v>1871</v>
      </c>
      <c r="H47" s="1573">
        <f t="shared" si="2"/>
        <v>1.2132074528161169E-3</v>
      </c>
      <c r="I47" s="1288"/>
      <c r="J47" s="1284"/>
      <c r="K47" s="1284"/>
      <c r="L47" s="1281"/>
      <c r="M47" s="1281"/>
      <c r="N47" s="1282"/>
      <c r="O47" s="1284"/>
      <c r="P47" s="1288"/>
      <c r="Q47" s="1284"/>
      <c r="R47" s="1582"/>
      <c r="S47" s="1288"/>
    </row>
    <row r="48" spans="1:20" s="1285" customFormat="1" ht="13.9" customHeight="1" x14ac:dyDescent="0.2">
      <c r="A48" s="1562">
        <v>1975</v>
      </c>
      <c r="B48" s="1288" t="s">
        <v>1791</v>
      </c>
      <c r="C48" s="1556">
        <v>-6170109053</v>
      </c>
      <c r="D48" s="1556">
        <v>-4825710623</v>
      </c>
      <c r="E48" s="1685">
        <f>+C48-D48</f>
        <v>-1344398430</v>
      </c>
      <c r="F48" s="1686">
        <f t="shared" si="1"/>
        <v>0.27859076828859408</v>
      </c>
      <c r="G48" s="1901"/>
      <c r="H48" s="1573">
        <f t="shared" si="2"/>
        <v>-3.1045867286843003E-4</v>
      </c>
      <c r="I48" s="1288"/>
      <c r="J48" s="1284"/>
      <c r="K48" s="1284"/>
      <c r="L48" s="1281"/>
      <c r="M48" s="1281"/>
      <c r="N48" s="1282"/>
      <c r="O48" s="1284"/>
      <c r="P48" s="1288"/>
      <c r="Q48" s="1284"/>
      <c r="R48" s="1582"/>
      <c r="S48" s="1288"/>
    </row>
    <row r="49" spans="1:19" s="1285" customFormat="1" ht="13.9" customHeight="1" x14ac:dyDescent="0.2">
      <c r="A49" s="1562">
        <v>1976</v>
      </c>
      <c r="B49" s="1288" t="s">
        <v>1792</v>
      </c>
      <c r="C49" s="1556">
        <v>-108842941</v>
      </c>
      <c r="D49" s="1556">
        <v>-108842941</v>
      </c>
      <c r="E49" s="1685">
        <f t="shared" si="0"/>
        <v>0</v>
      </c>
      <c r="F49" s="1686">
        <f t="shared" si="1"/>
        <v>0</v>
      </c>
      <c r="G49" s="1687" t="s">
        <v>1863</v>
      </c>
      <c r="H49" s="1573">
        <f t="shared" si="2"/>
        <v>-5.476602556566974E-6</v>
      </c>
      <c r="I49" s="1288"/>
      <c r="J49" s="1284"/>
      <c r="K49" s="1284"/>
      <c r="L49" s="1281"/>
      <c r="M49" s="1281"/>
      <c r="N49" s="1282"/>
      <c r="O49" s="1284"/>
      <c r="P49" s="1288"/>
      <c r="Q49" s="1284"/>
      <c r="R49" s="1582"/>
      <c r="S49" s="1288"/>
    </row>
    <row r="50" spans="1:19" s="1285" customFormat="1" ht="13.9" customHeight="1" x14ac:dyDescent="0.2">
      <c r="A50" s="1562">
        <v>1986</v>
      </c>
      <c r="B50" s="1288" t="s">
        <v>1810</v>
      </c>
      <c r="C50" s="1556">
        <v>862075020</v>
      </c>
      <c r="D50" s="1556">
        <v>0</v>
      </c>
      <c r="E50" s="1685">
        <f t="shared" si="0"/>
        <v>862075020</v>
      </c>
      <c r="F50" s="1686" t="s">
        <v>1846</v>
      </c>
      <c r="G50" s="1577" t="s">
        <v>1872</v>
      </c>
      <c r="H50" s="1573">
        <f t="shared" si="2"/>
        <v>4.3376650934896411E-5</v>
      </c>
      <c r="I50" s="1288"/>
      <c r="J50" s="1284"/>
      <c r="K50" s="1284"/>
      <c r="L50" s="1281"/>
      <c r="M50" s="1281"/>
      <c r="N50" s="1282"/>
      <c r="O50" s="1284"/>
      <c r="P50" s="1288"/>
      <c r="Q50" s="1284"/>
      <c r="R50" s="1582"/>
      <c r="S50" s="1288"/>
    </row>
    <row r="51" spans="1:19" s="1285" customFormat="1" ht="13.9" hidden="1" customHeight="1" x14ac:dyDescent="0.2">
      <c r="A51" s="1562"/>
      <c r="B51" s="1288" t="s">
        <v>891</v>
      </c>
      <c r="C51" s="1556">
        <f>SUM(C12:C50)</f>
        <v>19874171966247</v>
      </c>
      <c r="D51" s="1556">
        <f>SUM(D12:D49)</f>
        <v>17754557289774</v>
      </c>
      <c r="E51" s="1685">
        <f t="shared" si="0"/>
        <v>2119614676473</v>
      </c>
      <c r="F51" s="1686">
        <f t="shared" si="1"/>
        <v>0.11938425959479279</v>
      </c>
      <c r="G51" s="1577"/>
      <c r="H51" s="1573">
        <f t="shared" si="2"/>
        <v>1</v>
      </c>
      <c r="I51" s="1288"/>
      <c r="J51" s="1284"/>
      <c r="K51" s="1284"/>
      <c r="L51" s="1281"/>
      <c r="M51" s="1281"/>
      <c r="N51" s="1282"/>
      <c r="O51" s="1284"/>
      <c r="P51" s="1288"/>
      <c r="Q51" s="1284"/>
      <c r="R51" s="1582"/>
      <c r="S51" s="1288"/>
    </row>
    <row r="52" spans="1:19" s="1285" customFormat="1" ht="13.9" customHeight="1" x14ac:dyDescent="0.2">
      <c r="A52" s="1562">
        <v>2401</v>
      </c>
      <c r="B52" s="1288" t="s">
        <v>1799</v>
      </c>
      <c r="C52" s="1556">
        <v>51765649</v>
      </c>
      <c r="D52" s="1556">
        <v>98095555</v>
      </c>
      <c r="E52" s="1685">
        <f t="shared" si="0"/>
        <v>-46329906</v>
      </c>
      <c r="F52" s="1686">
        <f t="shared" si="1"/>
        <v>-0.47229363246887179</v>
      </c>
      <c r="G52" s="1577" t="s">
        <v>1873</v>
      </c>
      <c r="H52" s="1573">
        <f t="shared" si="2"/>
        <v>2.6046694719113534E-6</v>
      </c>
      <c r="I52" s="1288"/>
      <c r="J52" s="1578">
        <f>+F52</f>
        <v>-0.47229363246887179</v>
      </c>
      <c r="K52" s="1284"/>
      <c r="L52" s="1281"/>
      <c r="M52" s="1281"/>
      <c r="N52" s="1282" t="s">
        <v>1353</v>
      </c>
      <c r="O52" s="1284"/>
      <c r="P52" s="1288"/>
      <c r="Q52" s="1284" t="s">
        <v>1353</v>
      </c>
      <c r="R52" s="1582"/>
      <c r="S52" s="1288"/>
    </row>
    <row r="53" spans="1:19" s="1285" customFormat="1" ht="13.9" customHeight="1" x14ac:dyDescent="0.2">
      <c r="A53" s="1562">
        <v>2407</v>
      </c>
      <c r="B53" s="1288" t="s">
        <v>1800</v>
      </c>
      <c r="C53" s="1556">
        <v>8683851651</v>
      </c>
      <c r="D53" s="1556">
        <v>10500050032</v>
      </c>
      <c r="E53" s="1685">
        <f t="shared" si="0"/>
        <v>-1816198381</v>
      </c>
      <c r="F53" s="1686">
        <f t="shared" si="1"/>
        <v>-0.17297045018499393</v>
      </c>
      <c r="G53" s="1577" t="s">
        <v>1874</v>
      </c>
      <c r="H53" s="1573">
        <f t="shared" si="2"/>
        <v>4.3694155740164111E-4</v>
      </c>
      <c r="I53" s="1288"/>
      <c r="J53" s="1284"/>
      <c r="K53" s="1284"/>
      <c r="L53" s="1281"/>
      <c r="M53" s="1281"/>
      <c r="N53" s="1282"/>
      <c r="O53" s="1284"/>
      <c r="P53" s="1288"/>
      <c r="Q53" s="1284"/>
      <c r="R53" s="1582"/>
      <c r="S53" s="1288"/>
    </row>
    <row r="54" spans="1:19" s="1285" customFormat="1" ht="13.9" customHeight="1" x14ac:dyDescent="0.2">
      <c r="A54" s="1562">
        <v>2424</v>
      </c>
      <c r="B54" s="1288" t="s">
        <v>1807</v>
      </c>
      <c r="C54" s="1556">
        <v>490375544</v>
      </c>
      <c r="D54" s="1556">
        <v>453160289</v>
      </c>
      <c r="E54" s="1685">
        <f t="shared" si="0"/>
        <v>37215255</v>
      </c>
      <c r="F54" s="1686">
        <f t="shared" si="1"/>
        <v>8.212382219572642E-2</v>
      </c>
      <c r="G54" s="1577" t="s">
        <v>1875</v>
      </c>
      <c r="H54" s="1573">
        <f t="shared" si="2"/>
        <v>2.4674011316437328E-5</v>
      </c>
      <c r="I54" s="1288"/>
      <c r="J54" s="1284"/>
      <c r="K54" s="1284"/>
      <c r="L54" s="1281"/>
      <c r="M54" s="1281"/>
      <c r="N54" s="1282"/>
      <c r="O54" s="1284"/>
      <c r="P54" s="1288"/>
      <c r="Q54" s="1284"/>
      <c r="R54" s="1582"/>
      <c r="S54" s="1288"/>
    </row>
    <row r="55" spans="1:19" s="1285" customFormat="1" ht="13.9" customHeight="1" x14ac:dyDescent="0.2">
      <c r="A55" s="1562">
        <v>2436</v>
      </c>
      <c r="B55" s="1288" t="s">
        <v>1801</v>
      </c>
      <c r="C55" s="1556">
        <v>11259374076</v>
      </c>
      <c r="D55" s="1556">
        <v>12700854492</v>
      </c>
      <c r="E55" s="1685">
        <f t="shared" si="0"/>
        <v>-1441480416</v>
      </c>
      <c r="F55" s="1686">
        <f t="shared" si="1"/>
        <v>-0.11349475871154638</v>
      </c>
      <c r="G55" s="1577" t="s">
        <v>1876</v>
      </c>
      <c r="H55" s="1573">
        <f t="shared" si="2"/>
        <v>5.6653299041198736E-4</v>
      </c>
      <c r="I55" s="1288"/>
      <c r="J55" s="1284"/>
      <c r="K55" s="1284"/>
      <c r="L55" s="1281"/>
      <c r="M55" s="1281"/>
      <c r="N55" s="1282"/>
      <c r="O55" s="1284"/>
      <c r="P55" s="1288"/>
      <c r="Q55" s="1284"/>
      <c r="R55" s="1582"/>
      <c r="S55" s="1288"/>
    </row>
    <row r="56" spans="1:19" s="1285" customFormat="1" ht="13.9" customHeight="1" x14ac:dyDescent="0.2">
      <c r="A56" s="1562">
        <v>2440</v>
      </c>
      <c r="B56" s="1288" t="s">
        <v>1808</v>
      </c>
      <c r="C56" s="1556">
        <v>430775197</v>
      </c>
      <c r="D56" s="1556">
        <v>438318925</v>
      </c>
      <c r="E56" s="1685">
        <f t="shared" si="0"/>
        <v>-7543728</v>
      </c>
      <c r="F56" s="1686">
        <f t="shared" si="1"/>
        <v>-1.7210591580092052E-2</v>
      </c>
      <c r="G56" s="1577" t="s">
        <v>1877</v>
      </c>
      <c r="H56" s="1573">
        <f t="shared" si="2"/>
        <v>2.1675126779198679E-5</v>
      </c>
      <c r="I56" s="1288"/>
      <c r="J56" s="1284"/>
      <c r="K56" s="1284"/>
      <c r="L56" s="1281"/>
      <c r="M56" s="1281"/>
      <c r="N56" s="1282"/>
      <c r="O56" s="1284"/>
      <c r="P56" s="1288"/>
      <c r="Q56" s="1284"/>
      <c r="R56" s="1582"/>
      <c r="S56" s="1288"/>
    </row>
    <row r="57" spans="1:19" s="1285" customFormat="1" ht="13.9" customHeight="1" x14ac:dyDescent="0.2">
      <c r="A57" s="1562">
        <v>2460</v>
      </c>
      <c r="B57" s="1288" t="s">
        <v>1802</v>
      </c>
      <c r="C57" s="1556">
        <v>0</v>
      </c>
      <c r="D57" s="1556">
        <v>0</v>
      </c>
      <c r="E57" s="1685">
        <f t="shared" si="0"/>
        <v>0</v>
      </c>
      <c r="F57" s="1686" t="s">
        <v>1846</v>
      </c>
      <c r="G57" s="1687" t="s">
        <v>1864</v>
      </c>
      <c r="H57" s="1573">
        <f t="shared" si="2"/>
        <v>0</v>
      </c>
      <c r="I57" s="1288"/>
      <c r="J57" s="1284"/>
      <c r="K57" s="1284"/>
      <c r="L57" s="1281"/>
      <c r="M57" s="1281"/>
      <c r="N57" s="1282"/>
      <c r="O57" s="1284"/>
      <c r="P57" s="1288"/>
      <c r="Q57" s="1284"/>
      <c r="R57" s="1582"/>
      <c r="S57" s="1288"/>
    </row>
    <row r="58" spans="1:19" s="1285" customFormat="1" ht="13.9" customHeight="1" x14ac:dyDescent="0.2">
      <c r="A58" s="1562">
        <v>2490</v>
      </c>
      <c r="B58" s="1288" t="s">
        <v>932</v>
      </c>
      <c r="C58" s="1556">
        <v>7607587639</v>
      </c>
      <c r="D58" s="1556">
        <v>4715386164</v>
      </c>
      <c r="E58" s="1685">
        <f t="shared" si="0"/>
        <v>2892201475</v>
      </c>
      <c r="F58" s="1686">
        <f t="shared" si="1"/>
        <v>0.61335410810693469</v>
      </c>
      <c r="G58" s="1577" t="s">
        <v>1878</v>
      </c>
      <c r="H58" s="1573">
        <f t="shared" si="2"/>
        <v>3.8278765283505809E-4</v>
      </c>
      <c r="I58" s="1288"/>
      <c r="J58" s="1578">
        <f>+F58</f>
        <v>0.61335410810693469</v>
      </c>
      <c r="K58" s="1284"/>
      <c r="L58" s="1281"/>
      <c r="M58" s="1281"/>
      <c r="N58" s="1282" t="s">
        <v>1353</v>
      </c>
      <c r="O58" s="1284" t="s">
        <v>165</v>
      </c>
      <c r="P58" s="1288"/>
      <c r="Q58" s="1284" t="s">
        <v>1353</v>
      </c>
      <c r="R58" s="1582"/>
      <c r="S58" s="1288"/>
    </row>
    <row r="59" spans="1:19" s="1285" customFormat="1" ht="13.9" customHeight="1" x14ac:dyDescent="0.2">
      <c r="A59" s="1562">
        <v>2511</v>
      </c>
      <c r="B59" s="1288" t="s">
        <v>1803</v>
      </c>
      <c r="C59" s="1556">
        <v>22262078907</v>
      </c>
      <c r="D59" s="1556">
        <v>18482924373</v>
      </c>
      <c r="E59" s="1685">
        <f t="shared" si="0"/>
        <v>3779154534</v>
      </c>
      <c r="F59" s="1686">
        <f t="shared" si="1"/>
        <v>0.20446734822551232</v>
      </c>
      <c r="G59" s="1900" t="s">
        <v>1879</v>
      </c>
      <c r="H59" s="1573">
        <f t="shared" si="2"/>
        <v>1.1201512669211308E-3</v>
      </c>
      <c r="I59" s="1288"/>
      <c r="J59" s="1284"/>
      <c r="K59" s="1284"/>
      <c r="L59" s="1281"/>
      <c r="M59" s="1281"/>
      <c r="N59" s="1282"/>
      <c r="O59" s="1284" t="s">
        <v>165</v>
      </c>
      <c r="P59" s="1288"/>
      <c r="Q59" s="1284"/>
      <c r="R59" s="1582"/>
      <c r="S59" s="1288"/>
    </row>
    <row r="60" spans="1:19" s="1285" customFormat="1" ht="13.9" customHeight="1" x14ac:dyDescent="0.2">
      <c r="A60" s="1562">
        <v>2512</v>
      </c>
      <c r="B60" s="1288" t="s">
        <v>1804</v>
      </c>
      <c r="C60" s="1556">
        <v>4400756071</v>
      </c>
      <c r="D60" s="1556">
        <v>4407519722</v>
      </c>
      <c r="E60" s="1685">
        <f t="shared" si="0"/>
        <v>-6763651</v>
      </c>
      <c r="F60" s="1686">
        <f t="shared" si="1"/>
        <v>-1.5345707850697621E-3</v>
      </c>
      <c r="G60" s="1901"/>
      <c r="H60" s="1573">
        <f t="shared" si="2"/>
        <v>2.2143091437841825E-4</v>
      </c>
      <c r="I60" s="1288"/>
      <c r="J60" s="1284"/>
      <c r="K60" s="1284"/>
      <c r="L60" s="1288"/>
      <c r="M60" s="1288"/>
      <c r="N60" s="1284"/>
      <c r="O60" s="1284" t="s">
        <v>165</v>
      </c>
      <c r="P60" s="1288"/>
      <c r="Q60" s="1284"/>
      <c r="R60" s="1582"/>
      <c r="S60" s="1288"/>
    </row>
    <row r="61" spans="1:19" s="1285" customFormat="1" ht="13.9" customHeight="1" x14ac:dyDescent="0.2">
      <c r="A61" s="1562">
        <v>2701</v>
      </c>
      <c r="B61" s="1288" t="s">
        <v>933</v>
      </c>
      <c r="C61" s="1556">
        <v>61629520497</v>
      </c>
      <c r="D61" s="1556">
        <v>86349437807</v>
      </c>
      <c r="E61" s="1685">
        <f t="shared" ref="E61:E79" si="3">+C61-D61</f>
        <v>-24719917310</v>
      </c>
      <c r="F61" s="1686">
        <f t="shared" ref="F61:F79" si="4">+(C61-D61)/D61</f>
        <v>-0.28627768677836207</v>
      </c>
      <c r="G61" s="1577" t="s">
        <v>1880</v>
      </c>
      <c r="H61" s="1573">
        <f t="shared" ref="H61:H79" si="5">+C61/$C$51</f>
        <v>3.1009855707028987E-3</v>
      </c>
      <c r="I61" s="1288"/>
      <c r="J61" s="1284"/>
      <c r="K61" s="1284"/>
      <c r="L61" s="1281"/>
      <c r="M61" s="1281"/>
      <c r="N61" s="1282"/>
      <c r="O61" s="1284" t="s">
        <v>165</v>
      </c>
      <c r="P61" s="1288"/>
      <c r="Q61" s="1284"/>
      <c r="R61" s="1582"/>
      <c r="S61" s="1288"/>
    </row>
    <row r="62" spans="1:19" s="1285" customFormat="1" ht="13.9" customHeight="1" x14ac:dyDescent="0.2">
      <c r="A62" s="1562">
        <v>2901</v>
      </c>
      <c r="B62" s="1288" t="s">
        <v>934</v>
      </c>
      <c r="C62" s="1556">
        <v>1676078052</v>
      </c>
      <c r="D62" s="1556">
        <v>245724123</v>
      </c>
      <c r="E62" s="1685">
        <f t="shared" si="3"/>
        <v>1430353929</v>
      </c>
      <c r="F62" s="1686">
        <f t="shared" si="4"/>
        <v>5.8209748051476415</v>
      </c>
      <c r="G62" s="1577" t="s">
        <v>1881</v>
      </c>
      <c r="H62" s="1573">
        <f t="shared" si="5"/>
        <v>8.4334484719491307E-5</v>
      </c>
      <c r="I62" s="1288"/>
      <c r="J62" s="1578">
        <f>+F62</f>
        <v>5.8209748051476415</v>
      </c>
      <c r="K62" s="1284"/>
      <c r="L62" s="1281"/>
      <c r="M62" s="1281"/>
      <c r="N62" s="1282" t="s">
        <v>1353</v>
      </c>
      <c r="O62" s="1284" t="s">
        <v>165</v>
      </c>
      <c r="P62" s="1288"/>
      <c r="Q62" s="1284" t="s">
        <v>1353</v>
      </c>
      <c r="R62" s="1582" t="s">
        <v>1353</v>
      </c>
      <c r="S62" s="1914" t="s">
        <v>1897</v>
      </c>
    </row>
    <row r="63" spans="1:19" s="1285" customFormat="1" ht="13.9" customHeight="1" x14ac:dyDescent="0.2">
      <c r="A63" s="1562">
        <v>2902</v>
      </c>
      <c r="B63" s="1288" t="s">
        <v>936</v>
      </c>
      <c r="C63" s="1556">
        <v>135924845901</v>
      </c>
      <c r="D63" s="1556">
        <v>100609815861</v>
      </c>
      <c r="E63" s="1685">
        <f t="shared" si="3"/>
        <v>35315030040</v>
      </c>
      <c r="F63" s="1686">
        <f t="shared" si="4"/>
        <v>0.35100978704493763</v>
      </c>
      <c r="G63" s="1577" t="s">
        <v>1882</v>
      </c>
      <c r="H63" s="1573">
        <f t="shared" si="5"/>
        <v>6.8392708955042712E-3</v>
      </c>
      <c r="I63" s="1288"/>
      <c r="J63" s="1284"/>
      <c r="K63" s="1284"/>
      <c r="L63" s="1281"/>
      <c r="M63" s="1281"/>
      <c r="N63" s="1282"/>
      <c r="O63" s="1284" t="s">
        <v>165</v>
      </c>
      <c r="P63" s="1288"/>
      <c r="Q63" s="1284"/>
      <c r="R63" s="1582" t="s">
        <v>1353</v>
      </c>
      <c r="S63" s="1915"/>
    </row>
    <row r="64" spans="1:19" s="1285" customFormat="1" ht="13.9" customHeight="1" x14ac:dyDescent="0.2">
      <c r="A64" s="1562">
        <v>2903</v>
      </c>
      <c r="B64" s="1288" t="s">
        <v>1805</v>
      </c>
      <c r="C64" s="1556">
        <v>76450499231</v>
      </c>
      <c r="D64" s="1556">
        <v>66265086548</v>
      </c>
      <c r="E64" s="1685">
        <f t="shared" si="3"/>
        <v>10185412683</v>
      </c>
      <c r="F64" s="1686">
        <f t="shared" si="4"/>
        <v>0.15370707583128349</v>
      </c>
      <c r="G64" s="1577" t="s">
        <v>1883</v>
      </c>
      <c r="H64" s="1573">
        <f t="shared" si="5"/>
        <v>3.8467262616444374E-3</v>
      </c>
      <c r="I64" s="1288"/>
      <c r="J64" s="1284"/>
      <c r="K64" s="1284"/>
      <c r="L64" s="1281"/>
      <c r="M64" s="1281"/>
      <c r="N64" s="1282"/>
      <c r="O64" s="1284" t="s">
        <v>165</v>
      </c>
      <c r="P64" s="1288"/>
      <c r="Q64" s="1284"/>
      <c r="R64" s="1582" t="s">
        <v>1353</v>
      </c>
      <c r="S64" s="1915"/>
    </row>
    <row r="65" spans="1:19" s="1285" customFormat="1" ht="13.9" customHeight="1" x14ac:dyDescent="0.2">
      <c r="A65" s="1562">
        <v>2910</v>
      </c>
      <c r="B65" s="1288" t="s">
        <v>939</v>
      </c>
      <c r="C65" s="1556">
        <v>2978015091</v>
      </c>
      <c r="D65" s="1556">
        <v>6267364963</v>
      </c>
      <c r="E65" s="1685">
        <f t="shared" si="3"/>
        <v>-3289349872</v>
      </c>
      <c r="F65" s="1686">
        <f t="shared" si="4"/>
        <v>-0.524837773357543</v>
      </c>
      <c r="G65" s="1577" t="s">
        <v>1884</v>
      </c>
      <c r="H65" s="1573">
        <f t="shared" si="5"/>
        <v>1.4984348007341725E-4</v>
      </c>
      <c r="I65" s="1288"/>
      <c r="J65" s="1578">
        <f>+F65</f>
        <v>-0.524837773357543</v>
      </c>
      <c r="K65" s="1284"/>
      <c r="L65" s="1281"/>
      <c r="M65" s="1281"/>
      <c r="N65" s="1282" t="s">
        <v>1353</v>
      </c>
      <c r="O65" s="1284" t="s">
        <v>165</v>
      </c>
      <c r="P65" s="1288"/>
      <c r="Q65" s="1284" t="s">
        <v>1353</v>
      </c>
      <c r="R65" s="1582" t="s">
        <v>1353</v>
      </c>
      <c r="S65" s="1915"/>
    </row>
    <row r="66" spans="1:19" s="1285" customFormat="1" ht="13.9" customHeight="1" x14ac:dyDescent="0.2">
      <c r="A66" s="1562">
        <v>2990</v>
      </c>
      <c r="B66" s="1288" t="s">
        <v>940</v>
      </c>
      <c r="C66" s="1556">
        <v>107085703558</v>
      </c>
      <c r="D66" s="1556">
        <v>135417278179</v>
      </c>
      <c r="E66" s="1685">
        <f t="shared" si="3"/>
        <v>-28331574621</v>
      </c>
      <c r="F66" s="1686">
        <f>+(C66-D66)/D66</f>
        <v>-0.20921683703869889</v>
      </c>
      <c r="G66" s="1577" t="s">
        <v>1885</v>
      </c>
      <c r="H66" s="1573">
        <f t="shared" si="5"/>
        <v>5.3881844103929157E-3</v>
      </c>
      <c r="I66" s="1288"/>
      <c r="J66" s="1284"/>
      <c r="K66" s="1284"/>
      <c r="L66" s="1281"/>
      <c r="M66" s="1281"/>
      <c r="N66" s="1282"/>
      <c r="O66" s="1284" t="s">
        <v>165</v>
      </c>
      <c r="P66" s="1288"/>
      <c r="Q66" s="1284"/>
      <c r="R66" s="1582" t="s">
        <v>1353</v>
      </c>
      <c r="S66" s="1916"/>
    </row>
    <row r="67" spans="1:19" s="1285" customFormat="1" ht="13.9" hidden="1" customHeight="1" x14ac:dyDescent="0.2">
      <c r="A67" s="1562"/>
      <c r="B67" s="1288"/>
      <c r="C67" s="1556">
        <f>SUM(C52:C66)</f>
        <v>440931227064</v>
      </c>
      <c r="D67" s="1556">
        <f>SUM(D52:D66)</f>
        <v>446951017033</v>
      </c>
      <c r="E67" s="1685">
        <f t="shared" si="3"/>
        <v>-6019789969</v>
      </c>
      <c r="F67" s="1686">
        <f t="shared" si="4"/>
        <v>-1.3468567560179726E-2</v>
      </c>
      <c r="G67" s="1577"/>
      <c r="H67" s="1573">
        <f t="shared" si="5"/>
        <v>2.2186143292553213E-2</v>
      </c>
      <c r="I67" s="1288"/>
      <c r="J67" s="1284"/>
      <c r="K67" s="1284"/>
      <c r="L67" s="1281"/>
      <c r="M67" s="1281"/>
      <c r="N67" s="1282"/>
      <c r="O67" s="1284"/>
      <c r="P67" s="1288"/>
      <c r="Q67" s="1284"/>
      <c r="R67" s="1582"/>
      <c r="S67" s="1288"/>
    </row>
    <row r="68" spans="1:19" s="1285" customFormat="1" ht="13.9" customHeight="1" x14ac:dyDescent="0.2">
      <c r="A68" s="1562">
        <v>3105</v>
      </c>
      <c r="B68" s="1288" t="s">
        <v>941</v>
      </c>
      <c r="C68" s="1556">
        <v>10543397789911</v>
      </c>
      <c r="D68" s="1556">
        <v>10543397789911</v>
      </c>
      <c r="E68" s="1685">
        <f t="shared" si="3"/>
        <v>0</v>
      </c>
      <c r="F68" s="1686">
        <f t="shared" si="4"/>
        <v>0</v>
      </c>
      <c r="G68" s="1687" t="s">
        <v>1864</v>
      </c>
      <c r="H68" s="1573">
        <f t="shared" si="5"/>
        <v>0.53050752543639157</v>
      </c>
      <c r="I68" s="1288" t="s">
        <v>494</v>
      </c>
      <c r="J68" s="1284"/>
      <c r="K68" s="1581">
        <f>+H68</f>
        <v>0.53050752543639157</v>
      </c>
      <c r="L68" s="1281"/>
      <c r="M68" s="1281"/>
      <c r="N68" s="1282" t="s">
        <v>1353</v>
      </c>
      <c r="O68" s="1284"/>
      <c r="P68" s="1288"/>
      <c r="Q68" s="1284" t="s">
        <v>1353</v>
      </c>
      <c r="R68" s="1582"/>
      <c r="S68" s="1288"/>
    </row>
    <row r="69" spans="1:19" s="1285" customFormat="1" ht="13.9" customHeight="1" x14ac:dyDescent="0.2">
      <c r="A69" s="1562">
        <v>3109</v>
      </c>
      <c r="B69" s="1288" t="s">
        <v>1806</v>
      </c>
      <c r="C69" s="1556">
        <v>7185603281659</v>
      </c>
      <c r="D69" s="1556">
        <v>5029606808778</v>
      </c>
      <c r="E69" s="1685">
        <f t="shared" si="3"/>
        <v>2155996472881</v>
      </c>
      <c r="F69" s="1686">
        <f t="shared" si="4"/>
        <v>0.42866103750261619</v>
      </c>
      <c r="G69" s="1577" t="s">
        <v>1887</v>
      </c>
      <c r="H69" s="1573">
        <f t="shared" si="5"/>
        <v>0.36155485088196687</v>
      </c>
      <c r="I69" s="1288" t="s">
        <v>494</v>
      </c>
      <c r="J69" s="1578">
        <f>+F69</f>
        <v>0.42866103750261619</v>
      </c>
      <c r="K69" s="1581">
        <f>+H69</f>
        <v>0.36155485088196687</v>
      </c>
      <c r="L69" s="1281"/>
      <c r="M69" s="1281"/>
      <c r="N69" s="1282" t="s">
        <v>1353</v>
      </c>
      <c r="O69" s="1284"/>
      <c r="P69" s="1288"/>
      <c r="Q69" s="1284" t="s">
        <v>1353</v>
      </c>
      <c r="R69" s="1582"/>
      <c r="S69" s="1288"/>
    </row>
    <row r="70" spans="1:19" s="1285" customFormat="1" ht="13.9" customHeight="1" x14ac:dyDescent="0.2">
      <c r="A70" s="1562">
        <v>3110</v>
      </c>
      <c r="B70" s="1288" t="s">
        <v>942</v>
      </c>
      <c r="C70" s="1556">
        <v>1704239667613</v>
      </c>
      <c r="D70" s="1556">
        <f>SUM(D52:D69)</f>
        <v>16466906632755</v>
      </c>
      <c r="E70" s="1685">
        <f t="shared" si="3"/>
        <v>-14762666965142</v>
      </c>
      <c r="F70" s="1686">
        <f t="shared" si="4"/>
        <v>-0.89650517212364422</v>
      </c>
      <c r="G70" s="1577" t="s">
        <v>1886</v>
      </c>
      <c r="H70" s="1573">
        <f t="shared" si="5"/>
        <v>8.5751480389088391E-2</v>
      </c>
      <c r="I70" s="1288"/>
      <c r="J70" s="1578">
        <f>+F70</f>
        <v>-0.89650517212364422</v>
      </c>
      <c r="K70" s="1284"/>
      <c r="L70" s="1281"/>
      <c r="M70" s="1281"/>
      <c r="N70" s="1282" t="s">
        <v>1353</v>
      </c>
      <c r="O70" s="1284"/>
      <c r="P70" s="1288"/>
      <c r="Q70" s="1284" t="s">
        <v>1353</v>
      </c>
      <c r="R70" s="1582"/>
      <c r="S70" s="1288"/>
    </row>
    <row r="71" spans="1:19" s="1285" customFormat="1" ht="13.9" hidden="1" customHeight="1" x14ac:dyDescent="0.2">
      <c r="A71" s="1288"/>
      <c r="B71" s="1288"/>
      <c r="C71" s="1565">
        <f>SUM(C68:C70)</f>
        <v>19433240739183</v>
      </c>
      <c r="D71" s="1556">
        <f>SUM(D68:D70)</f>
        <v>32039911231444</v>
      </c>
      <c r="E71" s="1685">
        <f t="shared" si="3"/>
        <v>-12606670492261</v>
      </c>
      <c r="F71" s="1686">
        <f t="shared" si="4"/>
        <v>-0.39346770973225426</v>
      </c>
      <c r="G71" s="1577"/>
      <c r="H71" s="1573">
        <f t="shared" si="5"/>
        <v>0.9778138567074468</v>
      </c>
      <c r="I71" s="1288"/>
      <c r="J71" s="1284"/>
      <c r="K71" s="1284"/>
      <c r="L71" s="1281"/>
      <c r="M71" s="1281"/>
      <c r="N71" s="1282"/>
      <c r="O71" s="1284"/>
      <c r="P71" s="1288"/>
      <c r="Q71" s="1284"/>
      <c r="R71" s="1582"/>
      <c r="S71" s="1288"/>
    </row>
    <row r="72" spans="1:19" s="1285" customFormat="1" ht="13.9" hidden="1" customHeight="1" x14ac:dyDescent="0.2">
      <c r="A72" s="1288"/>
      <c r="B72" s="1288"/>
      <c r="C72" s="1556">
        <f>SUM(C52:C66)</f>
        <v>440931227064</v>
      </c>
      <c r="D72" s="1556"/>
      <c r="E72" s="1685">
        <f t="shared" si="3"/>
        <v>440931227064</v>
      </c>
      <c r="F72" s="1686" t="e">
        <f t="shared" si="4"/>
        <v>#DIV/0!</v>
      </c>
      <c r="G72" s="1577"/>
      <c r="H72" s="1573">
        <f t="shared" si="5"/>
        <v>2.2186143292553213E-2</v>
      </c>
      <c r="I72" s="1288"/>
      <c r="J72" s="1284"/>
      <c r="K72" s="1284"/>
      <c r="L72" s="1281"/>
      <c r="M72" s="1281"/>
      <c r="N72" s="1282"/>
      <c r="O72" s="1284"/>
      <c r="P72" s="1288"/>
      <c r="Q72" s="1284"/>
      <c r="R72" s="1582"/>
      <c r="S72" s="1288"/>
    </row>
    <row r="73" spans="1:19" s="1285" customFormat="1" ht="13.9" hidden="1" customHeight="1" x14ac:dyDescent="0.2">
      <c r="A73" s="1288"/>
      <c r="B73" s="1288"/>
      <c r="C73" s="1556">
        <f>+C72+C71</f>
        <v>19874171966247</v>
      </c>
      <c r="D73" s="1556"/>
      <c r="E73" s="1685">
        <f t="shared" si="3"/>
        <v>19874171966247</v>
      </c>
      <c r="F73" s="1686" t="e">
        <f t="shared" si="4"/>
        <v>#DIV/0!</v>
      </c>
      <c r="G73" s="1577"/>
      <c r="H73" s="1573">
        <f t="shared" si="5"/>
        <v>1</v>
      </c>
      <c r="I73" s="1288"/>
      <c r="J73" s="1284"/>
      <c r="K73" s="1284"/>
      <c r="L73" s="1281"/>
      <c r="M73" s="1281"/>
      <c r="N73" s="1282"/>
      <c r="O73" s="1284"/>
      <c r="P73" s="1288"/>
      <c r="Q73" s="1284"/>
      <c r="R73" s="1582"/>
      <c r="S73" s="1288"/>
    </row>
    <row r="74" spans="1:19" s="1285" customFormat="1" ht="13.9" customHeight="1" x14ac:dyDescent="0.2">
      <c r="A74" s="1288">
        <v>81</v>
      </c>
      <c r="B74" s="1288" t="s">
        <v>1811</v>
      </c>
      <c r="C74" s="1556">
        <v>327202452045</v>
      </c>
      <c r="D74" s="1556">
        <v>333515397132</v>
      </c>
      <c r="E74" s="1685">
        <f t="shared" si="3"/>
        <v>-6312945087</v>
      </c>
      <c r="F74" s="1686">
        <f t="shared" si="4"/>
        <v>-1.892849667897473E-2</v>
      </c>
      <c r="G74" s="1577" t="s">
        <v>1888</v>
      </c>
      <c r="H74" s="1573">
        <f t="shared" si="5"/>
        <v>1.6463702367107386E-2</v>
      </c>
      <c r="I74" s="1288"/>
      <c r="J74" s="1284"/>
      <c r="K74" s="1284"/>
      <c r="L74" s="1281"/>
      <c r="M74" s="1281"/>
      <c r="N74" s="1282"/>
      <c r="O74" s="1284"/>
      <c r="P74" s="1288"/>
      <c r="Q74" s="1284"/>
      <c r="R74" s="1582"/>
      <c r="S74" s="1288"/>
    </row>
    <row r="75" spans="1:19" s="1285" customFormat="1" ht="13.9" customHeight="1" x14ac:dyDescent="0.2">
      <c r="A75" s="1288">
        <v>83</v>
      </c>
      <c r="B75" s="1288" t="s">
        <v>1812</v>
      </c>
      <c r="C75" s="1556">
        <v>61332260803</v>
      </c>
      <c r="D75" s="1556">
        <v>51051607531</v>
      </c>
      <c r="E75" s="1685">
        <f t="shared" si="3"/>
        <v>10280653272</v>
      </c>
      <c r="F75" s="1686">
        <f t="shared" si="4"/>
        <v>0.20137766016001146</v>
      </c>
      <c r="G75" s="1577" t="s">
        <v>1889</v>
      </c>
      <c r="H75" s="1573">
        <f t="shared" si="5"/>
        <v>3.0860284849684666E-3</v>
      </c>
      <c r="I75" s="1288"/>
      <c r="J75" s="1284"/>
      <c r="K75" s="1284"/>
      <c r="L75" s="1281"/>
      <c r="M75" s="1281"/>
      <c r="N75" s="1282"/>
      <c r="O75" s="1284"/>
      <c r="P75" s="1288"/>
      <c r="Q75" s="1284"/>
      <c r="R75" s="1582"/>
      <c r="S75" s="1288"/>
    </row>
    <row r="76" spans="1:19" s="1285" customFormat="1" ht="13.9" customHeight="1" x14ac:dyDescent="0.2">
      <c r="A76" s="1288">
        <v>89</v>
      </c>
      <c r="B76" s="1288" t="s">
        <v>1813</v>
      </c>
      <c r="C76" s="1556">
        <v>388534712848</v>
      </c>
      <c r="D76" s="1556">
        <v>384567004663</v>
      </c>
      <c r="E76" s="1685">
        <f t="shared" si="3"/>
        <v>3967708185</v>
      </c>
      <c r="F76" s="1686">
        <f t="shared" si="4"/>
        <v>1.0317339077170553E-2</v>
      </c>
      <c r="G76" s="1687" t="s">
        <v>1850</v>
      </c>
      <c r="H76" s="1573">
        <f t="shared" si="5"/>
        <v>1.9549730852075852E-2</v>
      </c>
      <c r="I76" s="1288"/>
      <c r="J76" s="1284"/>
      <c r="K76" s="1284"/>
      <c r="L76" s="1281"/>
      <c r="M76" s="1281"/>
      <c r="N76" s="1282"/>
      <c r="O76" s="1284"/>
      <c r="P76" s="1288"/>
      <c r="Q76" s="1284"/>
      <c r="R76" s="1582"/>
      <c r="S76" s="1288"/>
    </row>
    <row r="77" spans="1:19" s="1285" customFormat="1" ht="13.9" customHeight="1" x14ac:dyDescent="0.2">
      <c r="A77" s="1288">
        <v>91</v>
      </c>
      <c r="B77" s="1288" t="s">
        <v>1814</v>
      </c>
      <c r="C77" s="1556">
        <v>2647434585722</v>
      </c>
      <c r="D77" s="1556">
        <v>3819406491940</v>
      </c>
      <c r="E77" s="1685">
        <f t="shared" si="3"/>
        <v>-1171971906218</v>
      </c>
      <c r="F77" s="1686">
        <f t="shared" si="4"/>
        <v>-0.30684660265703156</v>
      </c>
      <c r="G77" s="1577" t="s">
        <v>1890</v>
      </c>
      <c r="H77" s="1573">
        <f t="shared" si="5"/>
        <v>0.13320980568238167</v>
      </c>
      <c r="I77" s="1288"/>
      <c r="J77" s="1284"/>
      <c r="K77" s="1284"/>
      <c r="L77" s="1281"/>
      <c r="M77" s="1281"/>
      <c r="N77" s="1282"/>
      <c r="O77" s="1284"/>
      <c r="P77" s="1288"/>
      <c r="Q77" s="1284"/>
      <c r="R77" s="1582"/>
      <c r="S77" s="1288"/>
    </row>
    <row r="78" spans="1:19" s="1285" customFormat="1" ht="13.9" customHeight="1" x14ac:dyDescent="0.2">
      <c r="A78" s="1288">
        <v>93</v>
      </c>
      <c r="B78" s="1288" t="s">
        <v>1815</v>
      </c>
      <c r="C78" s="1556">
        <v>2843609351</v>
      </c>
      <c r="D78" s="1556">
        <v>2067348570</v>
      </c>
      <c r="E78" s="1685">
        <f t="shared" si="3"/>
        <v>776260781</v>
      </c>
      <c r="F78" s="1686">
        <f t="shared" si="4"/>
        <v>0.37548616245203392</v>
      </c>
      <c r="G78" s="1577" t="s">
        <v>1891</v>
      </c>
      <c r="H78" s="1573">
        <f t="shared" si="5"/>
        <v>1.430806453637113E-4</v>
      </c>
      <c r="I78" s="1288"/>
      <c r="J78" s="1284"/>
      <c r="K78" s="1284"/>
      <c r="L78" s="1281"/>
      <c r="M78" s="1281"/>
      <c r="N78" s="1282"/>
      <c r="O78" s="1284"/>
      <c r="P78" s="1288"/>
      <c r="Q78" s="1284"/>
      <c r="R78" s="1582"/>
      <c r="S78" s="1288"/>
    </row>
    <row r="79" spans="1:19" s="1285" customFormat="1" ht="13.9" customHeight="1" x14ac:dyDescent="0.2">
      <c r="A79" s="1288">
        <v>99</v>
      </c>
      <c r="B79" s="1288" t="s">
        <v>1816</v>
      </c>
      <c r="C79" s="1556">
        <v>2650278195073</v>
      </c>
      <c r="D79" s="1556">
        <v>3821473840510</v>
      </c>
      <c r="E79" s="1685">
        <f t="shared" si="3"/>
        <v>-1171195645437</v>
      </c>
      <c r="F79" s="1686">
        <f t="shared" si="4"/>
        <v>-0.30647747291152372</v>
      </c>
      <c r="G79" s="1577" t="s">
        <v>1890</v>
      </c>
      <c r="H79" s="1573">
        <f t="shared" si="5"/>
        <v>0.13335288632774536</v>
      </c>
      <c r="I79" s="1288"/>
      <c r="J79" s="1284"/>
      <c r="K79" s="1284"/>
      <c r="L79" s="1281"/>
      <c r="M79" s="1281"/>
      <c r="N79" s="1282"/>
      <c r="O79" s="1284"/>
      <c r="P79" s="1288"/>
      <c r="Q79" s="1284"/>
      <c r="R79" s="1582"/>
      <c r="S79" s="1288"/>
    </row>
    <row r="80" spans="1:19" s="51" customFormat="1" x14ac:dyDescent="0.2">
      <c r="D80" s="1563"/>
      <c r="E80" s="1564"/>
      <c r="H80" s="1557"/>
      <c r="J80" s="1268"/>
      <c r="K80" s="1268"/>
      <c r="N80" s="1268"/>
      <c r="O80" s="1268"/>
      <c r="Q80" s="1268"/>
      <c r="R80" s="1268"/>
    </row>
    <row r="81" spans="1:19" s="51" customFormat="1" x14ac:dyDescent="0.2">
      <c r="H81" s="1557"/>
      <c r="J81" s="1268"/>
      <c r="K81" s="1268"/>
      <c r="N81" s="1268"/>
      <c r="O81" s="1268"/>
      <c r="Q81" s="1268"/>
      <c r="R81" s="1268"/>
    </row>
    <row r="82" spans="1:19" s="51" customFormat="1" x14ac:dyDescent="0.2">
      <c r="B82" s="1886" t="s">
        <v>670</v>
      </c>
      <c r="C82" s="1888"/>
      <c r="D82" s="1889"/>
      <c r="E82" s="1889"/>
      <c r="F82" s="1890"/>
      <c r="G82" s="1268"/>
      <c r="H82" s="1557"/>
      <c r="J82" s="1268"/>
      <c r="K82" s="1268"/>
      <c r="N82" s="1268"/>
      <c r="O82" s="1268"/>
      <c r="Q82" s="1268"/>
      <c r="R82" s="1268"/>
    </row>
    <row r="83" spans="1:19" s="51" customFormat="1" x14ac:dyDescent="0.2">
      <c r="B83" s="1887"/>
      <c r="C83" s="1891"/>
      <c r="D83" s="1892"/>
      <c r="E83" s="1892"/>
      <c r="F83" s="1893"/>
      <c r="G83" s="1268"/>
      <c r="H83" s="1557"/>
      <c r="J83" s="1268"/>
      <c r="K83" s="1268"/>
      <c r="N83" s="1268"/>
      <c r="O83" s="1268"/>
      <c r="Q83" s="1268"/>
      <c r="R83" s="1268"/>
    </row>
    <row r="84" spans="1:19" s="51" customFormat="1" ht="15" thickBot="1" x14ac:dyDescent="0.25">
      <c r="H84" s="1557"/>
      <c r="J84" s="1268"/>
      <c r="K84" s="1268"/>
      <c r="N84" s="1268"/>
      <c r="O84" s="1268"/>
      <c r="Q84" s="1268"/>
      <c r="R84" s="1268"/>
    </row>
    <row r="85" spans="1:19" s="51" customFormat="1" ht="15" thickBot="1" x14ac:dyDescent="0.25">
      <c r="B85" s="1894" t="s">
        <v>671</v>
      </c>
      <c r="C85" s="1897" t="s">
        <v>1866</v>
      </c>
      <c r="D85" s="1898"/>
      <c r="E85" s="1898"/>
      <c r="F85" s="1899"/>
      <c r="G85" s="1269"/>
      <c r="H85" s="1560"/>
      <c r="I85" s="1269"/>
      <c r="J85" s="1579"/>
      <c r="K85" s="1579"/>
      <c r="L85" s="1269"/>
      <c r="M85" s="1269"/>
      <c r="N85" s="1579"/>
      <c r="O85" s="1579"/>
      <c r="P85" s="1269"/>
      <c r="Q85" s="1579"/>
      <c r="R85" s="1579"/>
      <c r="S85" s="1269"/>
    </row>
    <row r="86" spans="1:19" s="51" customFormat="1" ht="15" thickBot="1" x14ac:dyDescent="0.25">
      <c r="B86" s="1895"/>
      <c r="C86" s="1897"/>
      <c r="D86" s="1898"/>
      <c r="E86" s="1898"/>
      <c r="F86" s="1899"/>
      <c r="G86" s="310"/>
      <c r="H86" s="1561"/>
      <c r="I86" s="310"/>
      <c r="J86" s="1580"/>
      <c r="K86" s="1580"/>
      <c r="L86" s="310"/>
      <c r="M86" s="310"/>
      <c r="N86" s="1580"/>
      <c r="O86" s="1580"/>
      <c r="P86" s="310"/>
      <c r="Q86" s="1580"/>
      <c r="R86" s="1580"/>
      <c r="S86" s="310"/>
    </row>
    <row r="87" spans="1:19" s="51" customFormat="1" ht="15" thickBot="1" x14ac:dyDescent="0.25">
      <c r="B87" s="1896"/>
      <c r="C87" s="1897"/>
      <c r="D87" s="1898"/>
      <c r="E87" s="1898"/>
      <c r="F87" s="1899"/>
      <c r="G87" s="310"/>
      <c r="H87" s="1561"/>
      <c r="I87" s="310"/>
      <c r="J87" s="1580"/>
      <c r="K87" s="1580"/>
      <c r="L87" s="310"/>
      <c r="M87" s="310"/>
      <c r="N87" s="1580"/>
      <c r="O87" s="1580"/>
      <c r="P87" s="310"/>
      <c r="Q87" s="1580"/>
      <c r="R87" s="1580"/>
      <c r="S87" s="310"/>
    </row>
    <row r="88" spans="1:19" s="51" customFormat="1" ht="15" thickBot="1" x14ac:dyDescent="0.25">
      <c r="B88" s="1270" t="s">
        <v>672</v>
      </c>
      <c r="C88" s="1897" t="s">
        <v>1865</v>
      </c>
      <c r="D88" s="1898"/>
      <c r="E88" s="1898"/>
      <c r="F88" s="1899"/>
      <c r="G88" s="310"/>
      <c r="H88" s="1561"/>
      <c r="I88" s="310"/>
      <c r="J88" s="1580"/>
      <c r="K88" s="1580"/>
      <c r="L88" s="310"/>
      <c r="M88" s="310"/>
      <c r="N88" s="1580"/>
      <c r="O88" s="1580"/>
      <c r="P88" s="310"/>
      <c r="Q88" s="1580"/>
      <c r="R88" s="1580"/>
      <c r="S88" s="310"/>
    </row>
    <row r="89" spans="1:19" s="51" customFormat="1" x14ac:dyDescent="0.2">
      <c r="H89" s="1557"/>
      <c r="J89" s="1268"/>
      <c r="K89" s="1268"/>
      <c r="N89" s="1268"/>
      <c r="O89" s="1268"/>
      <c r="Q89" s="1268"/>
      <c r="R89" s="1268"/>
    </row>
    <row r="90" spans="1:19" s="51" customFormat="1" ht="15" x14ac:dyDescent="0.25">
      <c r="B90" s="51" t="s">
        <v>673</v>
      </c>
      <c r="H90" s="1557"/>
      <c r="J90" s="1268"/>
      <c r="K90" s="1268"/>
      <c r="N90" s="1268"/>
      <c r="O90" s="1268"/>
      <c r="Q90" s="1268"/>
      <c r="R90" s="1268"/>
    </row>
    <row r="91" spans="1:19" s="51" customFormat="1" ht="15" x14ac:dyDescent="0.25">
      <c r="B91" s="51" t="s">
        <v>674</v>
      </c>
      <c r="H91" s="1557"/>
      <c r="J91" s="1268"/>
      <c r="K91" s="1268"/>
      <c r="N91" s="1268"/>
      <c r="O91" s="1268"/>
      <c r="Q91" s="1268"/>
      <c r="R91" s="1268"/>
    </row>
    <row r="92" spans="1:19" s="51" customFormat="1" ht="15" x14ac:dyDescent="0.25">
      <c r="B92" s="51" t="s">
        <v>1867</v>
      </c>
      <c r="H92" s="1557"/>
      <c r="J92" s="1268"/>
      <c r="K92" s="1268"/>
      <c r="N92" s="1268"/>
      <c r="O92" s="1268"/>
      <c r="Q92" s="1268"/>
      <c r="R92" s="1268"/>
    </row>
    <row r="93" spans="1:19" s="51" customFormat="1" x14ac:dyDescent="0.2">
      <c r="H93" s="1557"/>
      <c r="J93" s="1268"/>
      <c r="K93" s="1268"/>
      <c r="N93" s="1268"/>
      <c r="O93" s="1268"/>
      <c r="Q93" s="1268"/>
      <c r="R93" s="1268"/>
    </row>
    <row r="96" spans="1:19" ht="36.6" customHeight="1" x14ac:dyDescent="0.2">
      <c r="A96" s="1917" t="s">
        <v>1934</v>
      </c>
      <c r="B96" s="1917"/>
      <c r="C96" s="1917"/>
      <c r="D96" s="1917"/>
      <c r="E96" s="1917"/>
      <c r="F96" s="1917"/>
      <c r="G96" s="1917"/>
      <c r="H96" s="1917"/>
    </row>
    <row r="98" spans="1:20" ht="18" x14ac:dyDescent="0.2">
      <c r="C98" s="1906" t="s">
        <v>650</v>
      </c>
      <c r="D98" s="1906"/>
      <c r="E98" s="1906"/>
      <c r="F98" s="1906"/>
      <c r="G98" s="1906"/>
      <c r="H98" s="1906"/>
    </row>
    <row r="99" spans="1:20" ht="15.75" customHeight="1" x14ac:dyDescent="0.2">
      <c r="B99" s="11" t="s">
        <v>0</v>
      </c>
      <c r="C99" s="1756" t="str">
        <f>IF(C100="Fondo de Pensiones Públicas de Bogotá – FPPB",C6,IF(C100="Sistema Intregado de Transporte Público-SITP",C6,"NO APLICA"))</f>
        <v xml:space="preserve">150000 - DIRECCIÓN SECTOR HACIENDA </v>
      </c>
      <c r="D99" s="1756"/>
    </row>
    <row r="100" spans="1:20" x14ac:dyDescent="0.2">
      <c r="B100" s="11" t="s">
        <v>1</v>
      </c>
      <c r="C100" s="1921" t="str">
        <f>IF(C7="206 - Fondo de Prestaciones Económicas, Cesantías y Pensiones – FONCEP ","Fondo de Pensiones Públicas de Bogotá – FPPB",IF(C7="262 - Empresa de Transporte del Tercer Milenio - Transmilenio S.A. ","Sistema Intregado de Transporte Público-SITP","NO APLICA"))</f>
        <v>Fondo de Pensiones Públicas de Bogotá – FPPB</v>
      </c>
      <c r="D100" s="1921"/>
      <c r="F100" s="305" t="s">
        <v>2</v>
      </c>
      <c r="G100" s="306"/>
      <c r="H100" s="1588">
        <f>+H7</f>
        <v>2024</v>
      </c>
      <c r="P100" s="307"/>
      <c r="R100" s="87"/>
      <c r="S100" s="307"/>
    </row>
    <row r="101" spans="1:20" x14ac:dyDescent="0.2">
      <c r="B101" s="11" t="s">
        <v>1683</v>
      </c>
      <c r="C101" s="1588">
        <f>+C8</f>
        <v>2025</v>
      </c>
      <c r="D101" s="1261"/>
      <c r="F101" s="305" t="s">
        <v>3</v>
      </c>
      <c r="G101" s="306"/>
      <c r="H101" s="1588">
        <f>+H8</f>
        <v>87</v>
      </c>
    </row>
    <row r="102" spans="1:20" x14ac:dyDescent="0.2">
      <c r="B102" s="11" t="s">
        <v>4</v>
      </c>
      <c r="C102" s="1262">
        <f>+C9</f>
        <v>45693</v>
      </c>
      <c r="D102" s="1260"/>
      <c r="F102" s="305" t="s">
        <v>5</v>
      </c>
      <c r="G102" s="306"/>
      <c r="H102" s="1262">
        <f>+H9</f>
        <v>45693</v>
      </c>
    </row>
    <row r="103" spans="1:20" ht="15.75" x14ac:dyDescent="0.25">
      <c r="B103" s="49"/>
      <c r="E103" s="49"/>
      <c r="F103" s="49"/>
      <c r="G103" s="49"/>
      <c r="I103" s="11" t="s">
        <v>651</v>
      </c>
      <c r="J103" s="1885" t="s">
        <v>652</v>
      </c>
      <c r="K103" s="1885"/>
      <c r="L103" s="1885"/>
      <c r="M103" s="1885"/>
      <c r="N103" s="1885"/>
      <c r="O103" s="1885"/>
      <c r="P103" s="1885"/>
      <c r="Q103" s="1885"/>
      <c r="R103" s="309"/>
    </row>
    <row r="104" spans="1:20" s="51" customFormat="1" ht="120" x14ac:dyDescent="0.2">
      <c r="A104" s="1267" t="s">
        <v>653</v>
      </c>
      <c r="B104" s="1267" t="s">
        <v>654</v>
      </c>
      <c r="C104" s="1267" t="s">
        <v>1769</v>
      </c>
      <c r="D104" s="1267" t="s">
        <v>1770</v>
      </c>
      <c r="E104" s="1267" t="s">
        <v>655</v>
      </c>
      <c r="F104" s="1267" t="s">
        <v>656</v>
      </c>
      <c r="G104" s="1267" t="s">
        <v>657</v>
      </c>
      <c r="H104" s="1558" t="s">
        <v>658</v>
      </c>
      <c r="I104" s="1267" t="s">
        <v>659</v>
      </c>
      <c r="J104" s="1267" t="s">
        <v>660</v>
      </c>
      <c r="K104" s="1267" t="s">
        <v>661</v>
      </c>
      <c r="L104" s="1267" t="s">
        <v>662</v>
      </c>
      <c r="M104" s="1267" t="s">
        <v>663</v>
      </c>
      <c r="N104" s="1267" t="s">
        <v>664</v>
      </c>
      <c r="O104" s="1267" t="s">
        <v>665</v>
      </c>
      <c r="P104" s="1267" t="s">
        <v>666</v>
      </c>
      <c r="Q104" s="1267" t="s">
        <v>664</v>
      </c>
      <c r="R104" s="1267" t="s">
        <v>667</v>
      </c>
      <c r="S104" s="1267" t="s">
        <v>668</v>
      </c>
    </row>
    <row r="105" spans="1:20" s="1285" customFormat="1" ht="13.9" customHeight="1" x14ac:dyDescent="0.2">
      <c r="A105" s="1562">
        <v>1105</v>
      </c>
      <c r="B105" s="1562" t="s">
        <v>1771</v>
      </c>
      <c r="C105" s="1556">
        <v>10000000</v>
      </c>
      <c r="D105" s="1556">
        <v>40000000</v>
      </c>
      <c r="E105" s="1554">
        <f>+C105-D105</f>
        <v>-30000000</v>
      </c>
      <c r="F105" s="1555">
        <f>+(C105-D105)/D105</f>
        <v>-0.75</v>
      </c>
      <c r="G105" s="1574" t="s">
        <v>1851</v>
      </c>
      <c r="H105" s="1573">
        <f>+C105/$C$51</f>
        <v>5.0316561701203698E-7</v>
      </c>
      <c r="I105" s="1288"/>
      <c r="J105" s="1578">
        <f>+F105</f>
        <v>-0.75</v>
      </c>
      <c r="K105" s="1284"/>
      <c r="L105" s="1282" t="s">
        <v>1353</v>
      </c>
      <c r="M105" s="1281"/>
      <c r="N105" s="1282" t="s">
        <v>1353</v>
      </c>
      <c r="O105" s="1284" t="s">
        <v>1892</v>
      </c>
      <c r="P105" s="1284" t="s">
        <v>1353</v>
      </c>
      <c r="Q105" s="1284" t="s">
        <v>1353</v>
      </c>
      <c r="R105" s="1582" t="s">
        <v>1353</v>
      </c>
      <c r="S105" s="1914" t="s">
        <v>1893</v>
      </c>
    </row>
    <row r="106" spans="1:20" s="1285" customFormat="1" ht="13.9" customHeight="1" x14ac:dyDescent="0.2">
      <c r="A106" s="1562">
        <v>1110</v>
      </c>
      <c r="B106" s="1562" t="s">
        <v>913</v>
      </c>
      <c r="C106" s="1556">
        <v>170192789315</v>
      </c>
      <c r="D106" s="1556">
        <v>386587616144</v>
      </c>
      <c r="E106" s="1554">
        <f t="shared" ref="E106:E140" si="6">+C106-D106</f>
        <v>-216394826829</v>
      </c>
      <c r="F106" s="1555">
        <f t="shared" ref="F106:F142" si="7">+(C106-D106)/D106</f>
        <v>-0.55975623065068669</v>
      </c>
      <c r="G106" s="1577" t="s">
        <v>1852</v>
      </c>
      <c r="H106" s="1573">
        <f t="shared" ref="H106:H169" si="8">+C106/$C$51</f>
        <v>8.5635159846681585E-3</v>
      </c>
      <c r="I106" s="1288"/>
      <c r="J106" s="1578">
        <f>+F106</f>
        <v>-0.55975623065068669</v>
      </c>
      <c r="K106" s="1284"/>
      <c r="L106" s="1282" t="s">
        <v>1353</v>
      </c>
      <c r="M106" s="1281"/>
      <c r="N106" s="1282" t="s">
        <v>1353</v>
      </c>
      <c r="O106" s="1284" t="s">
        <v>166</v>
      </c>
      <c r="P106" s="1284" t="s">
        <v>1353</v>
      </c>
      <c r="Q106" s="1284" t="s">
        <v>1353</v>
      </c>
      <c r="R106" s="1582" t="s">
        <v>1353</v>
      </c>
      <c r="S106" s="1916"/>
    </row>
    <row r="107" spans="1:20" s="1285" customFormat="1" ht="13.9" customHeight="1" x14ac:dyDescent="0.2">
      <c r="A107" s="1562">
        <v>1132</v>
      </c>
      <c r="B107" s="1562" t="s">
        <v>915</v>
      </c>
      <c r="C107" s="1556">
        <v>78450000</v>
      </c>
      <c r="D107" s="1556">
        <v>78450000</v>
      </c>
      <c r="E107" s="1554">
        <f t="shared" si="6"/>
        <v>0</v>
      </c>
      <c r="F107" s="1555">
        <f t="shared" si="7"/>
        <v>0</v>
      </c>
      <c r="G107" s="1575" t="s">
        <v>1849</v>
      </c>
      <c r="H107" s="1573">
        <f t="shared" si="8"/>
        <v>3.9473342654594302E-6</v>
      </c>
      <c r="I107" s="1288"/>
      <c r="J107" s="1284"/>
      <c r="K107" s="1284"/>
      <c r="L107" s="1281"/>
      <c r="M107" s="1281"/>
      <c r="N107" s="1282"/>
      <c r="O107" s="1284"/>
      <c r="P107" s="1284" t="s">
        <v>1353</v>
      </c>
      <c r="Q107" s="1284" t="s">
        <v>1353</v>
      </c>
      <c r="R107" s="1582"/>
      <c r="S107" s="1288"/>
    </row>
    <row r="108" spans="1:20" s="1285" customFormat="1" ht="13.9" customHeight="1" x14ac:dyDescent="0.2">
      <c r="A108" s="1562">
        <v>1223</v>
      </c>
      <c r="B108" s="1562" t="s">
        <v>1772</v>
      </c>
      <c r="C108" s="1556">
        <v>0</v>
      </c>
      <c r="D108" s="1556">
        <v>1067590066596</v>
      </c>
      <c r="E108" s="1554">
        <f t="shared" si="6"/>
        <v>-1067590066596</v>
      </c>
      <c r="F108" s="1555">
        <f t="shared" si="7"/>
        <v>-1</v>
      </c>
      <c r="G108" s="1900" t="s">
        <v>1855</v>
      </c>
      <c r="H108" s="1573">
        <f t="shared" si="8"/>
        <v>0</v>
      </c>
      <c r="I108" s="1288"/>
      <c r="J108" s="1578">
        <f>+F108</f>
        <v>-1</v>
      </c>
      <c r="K108" s="1284"/>
      <c r="L108" s="1281"/>
      <c r="M108" s="1281"/>
      <c r="N108" s="1282" t="s">
        <v>1353</v>
      </c>
      <c r="O108" s="1284"/>
      <c r="P108" s="1284" t="s">
        <v>1353</v>
      </c>
      <c r="Q108" s="1284" t="s">
        <v>1353</v>
      </c>
      <c r="R108" s="1582"/>
      <c r="S108" s="1288"/>
    </row>
    <row r="109" spans="1:20" s="1285" customFormat="1" ht="13.9" customHeight="1" x14ac:dyDescent="0.2">
      <c r="A109" s="1562">
        <v>1224</v>
      </c>
      <c r="B109" s="1562" t="s">
        <v>1773</v>
      </c>
      <c r="C109" s="1556">
        <v>20528265006</v>
      </c>
      <c r="D109" s="1556">
        <v>20528265006</v>
      </c>
      <c r="E109" s="1554">
        <f t="shared" si="6"/>
        <v>0</v>
      </c>
      <c r="F109" s="1555">
        <f t="shared" si="7"/>
        <v>0</v>
      </c>
      <c r="G109" s="1901"/>
      <c r="H109" s="1573">
        <f t="shared" si="8"/>
        <v>1.0329117127930597E-3</v>
      </c>
      <c r="I109" s="1288"/>
      <c r="J109" s="1284"/>
      <c r="K109" s="1284"/>
      <c r="L109" s="1281"/>
      <c r="M109" s="1281"/>
      <c r="N109" s="1282"/>
      <c r="O109" s="1284"/>
      <c r="P109" s="1284" t="s">
        <v>1353</v>
      </c>
      <c r="Q109" s="1284" t="s">
        <v>1353</v>
      </c>
      <c r="R109" s="1582"/>
      <c r="S109" s="1288"/>
    </row>
    <row r="110" spans="1:20" s="1285" customFormat="1" ht="13.9" customHeight="1" x14ac:dyDescent="0.2">
      <c r="A110" s="1562">
        <v>1311</v>
      </c>
      <c r="B110" s="1562" t="s">
        <v>1774</v>
      </c>
      <c r="C110" s="1556">
        <f>4264162892+22227722397</f>
        <v>26491885289</v>
      </c>
      <c r="D110" s="1556">
        <v>43839214623</v>
      </c>
      <c r="E110" s="1554">
        <f t="shared" si="6"/>
        <v>-17347329334</v>
      </c>
      <c r="F110" s="1555">
        <f t="shared" si="7"/>
        <v>-0.39570346967162179</v>
      </c>
      <c r="G110" s="1900" t="s">
        <v>1857</v>
      </c>
      <c r="H110" s="1573">
        <f t="shared" si="8"/>
        <v>1.332980580725179E-3</v>
      </c>
      <c r="I110" s="1288"/>
      <c r="J110" s="1284"/>
      <c r="K110" s="1284"/>
      <c r="L110" s="1281"/>
      <c r="M110" s="1281"/>
      <c r="N110" s="1282"/>
      <c r="O110" s="1284" t="s">
        <v>165</v>
      </c>
      <c r="P110" s="1288"/>
      <c r="Q110" s="1284"/>
      <c r="R110" s="1582" t="s">
        <v>1353</v>
      </c>
      <c r="S110" s="1288" t="s">
        <v>1894</v>
      </c>
      <c r="T110" s="1285" t="s">
        <v>144</v>
      </c>
    </row>
    <row r="111" spans="1:20" s="1285" customFormat="1" ht="13.9" customHeight="1" x14ac:dyDescent="0.2">
      <c r="A111" s="1562">
        <v>1337</v>
      </c>
      <c r="B111" s="1562" t="s">
        <v>1775</v>
      </c>
      <c r="C111" s="1556">
        <v>153887160072</v>
      </c>
      <c r="D111" s="1556">
        <v>182834200391</v>
      </c>
      <c r="E111" s="1554">
        <f t="shared" si="6"/>
        <v>-28947040319</v>
      </c>
      <c r="F111" s="1555">
        <f t="shared" si="7"/>
        <v>-0.15832399111925077</v>
      </c>
      <c r="G111" s="1902"/>
      <c r="H111" s="1573">
        <f t="shared" si="8"/>
        <v>7.7430727847857981E-3</v>
      </c>
      <c r="I111" s="1288"/>
      <c r="J111" s="1284"/>
      <c r="K111" s="1284"/>
      <c r="L111" s="1281"/>
      <c r="M111" s="1281"/>
      <c r="N111" s="1282"/>
      <c r="O111" s="1284" t="s">
        <v>165</v>
      </c>
      <c r="P111" s="1288"/>
      <c r="Q111" s="1284"/>
      <c r="R111" s="1582"/>
      <c r="S111" s="1288"/>
    </row>
    <row r="112" spans="1:20" s="1285" customFormat="1" ht="13.9" customHeight="1" x14ac:dyDescent="0.2">
      <c r="A112" s="1562">
        <v>1338</v>
      </c>
      <c r="B112" s="1562" t="s">
        <v>1776</v>
      </c>
      <c r="C112" s="1556">
        <v>1192186</v>
      </c>
      <c r="D112" s="1556">
        <v>921958</v>
      </c>
      <c r="E112" s="1554">
        <f t="shared" si="6"/>
        <v>270228</v>
      </c>
      <c r="F112" s="1555">
        <f t="shared" si="7"/>
        <v>0.29310228882443667</v>
      </c>
      <c r="G112" s="1902"/>
      <c r="H112" s="1573">
        <f t="shared" si="8"/>
        <v>5.9986700428311226E-8</v>
      </c>
      <c r="I112" s="1288"/>
      <c r="J112" s="1284"/>
      <c r="K112" s="1284"/>
      <c r="L112" s="1281"/>
      <c r="M112" s="1281"/>
      <c r="N112" s="1282"/>
      <c r="O112" s="1284" t="s">
        <v>165</v>
      </c>
      <c r="P112" s="1288"/>
      <c r="Q112" s="1284"/>
      <c r="R112" s="1582"/>
      <c r="S112" s="1288"/>
    </row>
    <row r="113" spans="1:20" s="1285" customFormat="1" ht="13.9" customHeight="1" x14ac:dyDescent="0.2">
      <c r="A113" s="1562">
        <v>1384</v>
      </c>
      <c r="B113" s="1562" t="s">
        <v>916</v>
      </c>
      <c r="C113" s="1556">
        <f>44222227501+30688249829</f>
        <v>74910477330</v>
      </c>
      <c r="D113" s="1556">
        <v>31240934094</v>
      </c>
      <c r="E113" s="1554">
        <f t="shared" si="6"/>
        <v>43669543236</v>
      </c>
      <c r="F113" s="1555">
        <f t="shared" si="7"/>
        <v>1.3978309068673778</v>
      </c>
      <c r="G113" s="1902"/>
      <c r="H113" s="1573">
        <f t="shared" si="8"/>
        <v>3.7692376546415657E-3</v>
      </c>
      <c r="I113" s="1288"/>
      <c r="J113" s="1578">
        <f>+F113</f>
        <v>1.3978309068673778</v>
      </c>
      <c r="K113" s="1284"/>
      <c r="L113" s="1281"/>
      <c r="M113" s="1281"/>
      <c r="N113" s="1282" t="s">
        <v>1353</v>
      </c>
      <c r="O113" s="1284" t="s">
        <v>165</v>
      </c>
      <c r="P113" s="1288"/>
      <c r="Q113" s="1284" t="s">
        <v>1353</v>
      </c>
      <c r="R113" s="1582" t="s">
        <v>1353</v>
      </c>
      <c r="S113" s="1288" t="s">
        <v>1894</v>
      </c>
      <c r="T113" s="1285" t="s">
        <v>144</v>
      </c>
    </row>
    <row r="114" spans="1:20" s="1285" customFormat="1" ht="13.9" customHeight="1" x14ac:dyDescent="0.2">
      <c r="A114" s="1562">
        <v>1386</v>
      </c>
      <c r="B114" s="1562" t="s">
        <v>1777</v>
      </c>
      <c r="C114" s="1556">
        <v>-12951200774</v>
      </c>
      <c r="D114" s="1556">
        <v>-12748581549</v>
      </c>
      <c r="E114" s="1554">
        <f t="shared" si="6"/>
        <v>-202619225</v>
      </c>
      <c r="F114" s="1555">
        <f t="shared" si="7"/>
        <v>1.5893472087166707E-2</v>
      </c>
      <c r="G114" s="1901"/>
      <c r="H114" s="1573">
        <f t="shared" si="8"/>
        <v>-6.5165989284964813E-4</v>
      </c>
      <c r="I114" s="1288"/>
      <c r="J114" s="1284"/>
      <c r="K114" s="1284"/>
      <c r="L114" s="1281"/>
      <c r="M114" s="1281"/>
      <c r="N114" s="1282"/>
      <c r="O114" s="1284" t="s">
        <v>165</v>
      </c>
      <c r="P114" s="1288"/>
      <c r="Q114" s="1284"/>
      <c r="R114" s="1582"/>
      <c r="S114" s="1288"/>
    </row>
    <row r="115" spans="1:20" s="1285" customFormat="1" ht="13.9" customHeight="1" x14ac:dyDescent="0.2">
      <c r="A115" s="1562">
        <v>1510</v>
      </c>
      <c r="B115" s="1562" t="s">
        <v>1778</v>
      </c>
      <c r="C115" s="1556">
        <v>7543221116</v>
      </c>
      <c r="D115" s="1556">
        <v>7438746939</v>
      </c>
      <c r="E115" s="1554">
        <f t="shared" si="6"/>
        <v>104474177</v>
      </c>
      <c r="F115" s="1555">
        <f t="shared" si="7"/>
        <v>1.404459351241818E-2</v>
      </c>
      <c r="G115" s="1900" t="s">
        <v>1856</v>
      </c>
      <c r="H115" s="1573">
        <f t="shared" si="8"/>
        <v>3.7954895070903662E-4</v>
      </c>
      <c r="I115" s="1288"/>
      <c r="J115" s="1284"/>
      <c r="K115" s="1284"/>
      <c r="L115" s="1281"/>
      <c r="M115" s="1281"/>
      <c r="N115" s="1282"/>
      <c r="O115" s="1284" t="s">
        <v>165</v>
      </c>
      <c r="P115" s="1288"/>
      <c r="Q115" s="1284"/>
      <c r="R115" s="1582"/>
      <c r="S115" s="1288"/>
    </row>
    <row r="116" spans="1:20" s="1285" customFormat="1" ht="13.9" customHeight="1" x14ac:dyDescent="0.2">
      <c r="A116" s="1562">
        <v>1530</v>
      </c>
      <c r="B116" s="1562" t="s">
        <v>1779</v>
      </c>
      <c r="C116" s="1556">
        <v>310778100</v>
      </c>
      <c r="D116" s="1556">
        <v>319877687</v>
      </c>
      <c r="E116" s="1554">
        <f t="shared" si="6"/>
        <v>-9099587</v>
      </c>
      <c r="F116" s="1555">
        <f t="shared" si="7"/>
        <v>-2.8447082650063054E-2</v>
      </c>
      <c r="G116" s="1902"/>
      <c r="H116" s="1573">
        <f t="shared" si="8"/>
        <v>1.5637285444032854E-5</v>
      </c>
      <c r="I116" s="1288"/>
      <c r="J116" s="1284"/>
      <c r="K116" s="1284"/>
      <c r="L116" s="1281"/>
      <c r="M116" s="1281"/>
      <c r="N116" s="1282"/>
      <c r="O116" s="1284" t="s">
        <v>165</v>
      </c>
      <c r="P116" s="1288"/>
      <c r="Q116" s="1284"/>
      <c r="R116" s="1582"/>
      <c r="S116" s="1288"/>
    </row>
    <row r="117" spans="1:20" s="1285" customFormat="1" ht="13.9" customHeight="1" x14ac:dyDescent="0.2">
      <c r="A117" s="1562">
        <v>1580</v>
      </c>
      <c r="B117" s="1562" t="s">
        <v>1783</v>
      </c>
      <c r="C117" s="1556">
        <v>-130971089</v>
      </c>
      <c r="D117" s="1556">
        <v>-186601245</v>
      </c>
      <c r="E117" s="1554">
        <f t="shared" si="6"/>
        <v>55630156</v>
      </c>
      <c r="F117" s="1555">
        <f t="shared" si="7"/>
        <v>-0.29812317704525498</v>
      </c>
      <c r="G117" s="1901"/>
      <c r="H117" s="1573">
        <f t="shared" si="8"/>
        <v>-6.5900148807423407E-6</v>
      </c>
      <c r="I117" s="1288"/>
      <c r="J117" s="1284"/>
      <c r="K117" s="1284"/>
      <c r="L117" s="1281"/>
      <c r="M117" s="1281"/>
      <c r="N117" s="1282"/>
      <c r="O117" s="1284" t="s">
        <v>165</v>
      </c>
      <c r="P117" s="1288"/>
      <c r="Q117" s="1284"/>
      <c r="R117" s="1582"/>
      <c r="S117" s="1288"/>
    </row>
    <row r="118" spans="1:20" s="1285" customFormat="1" ht="13.9" customHeight="1" x14ac:dyDescent="0.2">
      <c r="A118" s="1562">
        <v>1605</v>
      </c>
      <c r="B118" s="1562" t="s">
        <v>918</v>
      </c>
      <c r="C118" s="1556">
        <v>66177200768</v>
      </c>
      <c r="D118" s="1556">
        <v>81943550768</v>
      </c>
      <c r="E118" s="1554">
        <f t="shared" si="6"/>
        <v>-15766350000</v>
      </c>
      <c r="F118" s="1555">
        <f t="shared" si="7"/>
        <v>-0.19240501360061835</v>
      </c>
      <c r="G118" s="1918" t="s">
        <v>1858</v>
      </c>
      <c r="H118" s="1573">
        <f t="shared" si="8"/>
        <v>3.3298092056560169E-3</v>
      </c>
      <c r="I118" s="1288"/>
      <c r="J118" s="1284"/>
      <c r="K118" s="1284"/>
      <c r="L118" s="1281"/>
      <c r="M118" s="1281"/>
      <c r="N118" s="1282"/>
      <c r="O118" s="1284"/>
      <c r="P118" s="1288"/>
      <c r="Q118" s="1284"/>
      <c r="R118" s="1582"/>
      <c r="S118" s="1288"/>
    </row>
    <row r="119" spans="1:20" s="1285" customFormat="1" ht="13.9" customHeight="1" x14ac:dyDescent="0.2">
      <c r="A119" s="1562">
        <v>1635</v>
      </c>
      <c r="B119" s="1562" t="s">
        <v>1780</v>
      </c>
      <c r="C119" s="1556">
        <v>0</v>
      </c>
      <c r="D119" s="1556">
        <v>2149446488</v>
      </c>
      <c r="E119" s="1554">
        <f t="shared" si="6"/>
        <v>-2149446488</v>
      </c>
      <c r="F119" s="1555">
        <f t="shared" si="7"/>
        <v>-1</v>
      </c>
      <c r="G119" s="1919"/>
      <c r="H119" s="1573">
        <f t="shared" si="8"/>
        <v>0</v>
      </c>
      <c r="I119" s="1288"/>
      <c r="J119" s="1578">
        <f>+F119</f>
        <v>-1</v>
      </c>
      <c r="K119" s="1284"/>
      <c r="L119" s="1281"/>
      <c r="M119" s="1281"/>
      <c r="N119" s="1282" t="s">
        <v>1353</v>
      </c>
      <c r="O119" s="1284"/>
      <c r="P119" s="1288"/>
      <c r="Q119" s="1284" t="s">
        <v>1353</v>
      </c>
      <c r="R119" s="1582" t="s">
        <v>1353</v>
      </c>
      <c r="S119" s="1288" t="s">
        <v>1895</v>
      </c>
      <c r="T119" s="1285" t="s">
        <v>144</v>
      </c>
    </row>
    <row r="120" spans="1:20" s="1285" customFormat="1" ht="13.9" customHeight="1" x14ac:dyDescent="0.2">
      <c r="A120" s="1562">
        <v>1637</v>
      </c>
      <c r="B120" s="1288" t="s">
        <v>1781</v>
      </c>
      <c r="C120" s="1556">
        <v>7400614696</v>
      </c>
      <c r="D120" s="1556">
        <v>7862371389</v>
      </c>
      <c r="E120" s="1554">
        <f t="shared" si="6"/>
        <v>-461756693</v>
      </c>
      <c r="F120" s="1555">
        <f t="shared" si="7"/>
        <v>-5.8729951836926642E-2</v>
      </c>
      <c r="G120" s="1919"/>
      <c r="H120" s="1573">
        <f t="shared" si="8"/>
        <v>3.7237348597811887E-4</v>
      </c>
      <c r="I120" s="1288"/>
      <c r="J120" s="1284"/>
      <c r="K120" s="1284"/>
      <c r="L120" s="1281"/>
      <c r="M120" s="1281"/>
      <c r="N120" s="1282"/>
      <c r="O120" s="1284"/>
      <c r="P120" s="1288"/>
      <c r="Q120" s="1284"/>
      <c r="R120" s="1582"/>
      <c r="S120" s="1288"/>
    </row>
    <row r="121" spans="1:20" s="1285" customFormat="1" ht="13.9" customHeight="1" x14ac:dyDescent="0.2">
      <c r="A121" s="1562">
        <v>1640</v>
      </c>
      <c r="B121" s="1288" t="s">
        <v>920</v>
      </c>
      <c r="C121" s="1556">
        <v>30485226072</v>
      </c>
      <c r="D121" s="1556">
        <v>30561948052</v>
      </c>
      <c r="E121" s="1554">
        <f t="shared" si="6"/>
        <v>-76721980</v>
      </c>
      <c r="F121" s="1555">
        <f t="shared" si="7"/>
        <v>-2.5103759704538614E-3</v>
      </c>
      <c r="G121" s="1919"/>
      <c r="H121" s="1573">
        <f t="shared" si="8"/>
        <v>1.5339117586269317E-3</v>
      </c>
      <c r="I121" s="1288"/>
      <c r="J121" s="1284"/>
      <c r="K121" s="1284"/>
      <c r="L121" s="1281"/>
      <c r="M121" s="1281"/>
      <c r="N121" s="1282"/>
      <c r="O121" s="1284"/>
      <c r="P121" s="1288"/>
      <c r="Q121" s="1284"/>
      <c r="R121" s="1582"/>
      <c r="S121" s="1288"/>
    </row>
    <row r="122" spans="1:20" s="1285" customFormat="1" ht="13.9" customHeight="1" x14ac:dyDescent="0.2">
      <c r="A122" s="1562">
        <v>1650</v>
      </c>
      <c r="B122" s="1288" t="s">
        <v>1782</v>
      </c>
      <c r="C122" s="1556">
        <v>873842885</v>
      </c>
      <c r="D122" s="1556">
        <v>889518651</v>
      </c>
      <c r="E122" s="1554">
        <f t="shared" si="6"/>
        <v>-15675766</v>
      </c>
      <c r="F122" s="1555">
        <f t="shared" si="7"/>
        <v>-1.7622751341275698E-2</v>
      </c>
      <c r="G122" s="1919"/>
      <c r="H122" s="1573">
        <f t="shared" si="8"/>
        <v>4.396876944026035E-5</v>
      </c>
      <c r="I122" s="1288"/>
      <c r="J122" s="1284"/>
      <c r="K122" s="1284"/>
      <c r="L122" s="1281"/>
      <c r="M122" s="1281"/>
      <c r="N122" s="1282"/>
      <c r="O122" s="1284"/>
      <c r="P122" s="1288"/>
      <c r="Q122" s="1284"/>
      <c r="R122" s="1582"/>
      <c r="S122" s="1288"/>
    </row>
    <row r="123" spans="1:20" s="1285" customFormat="1" ht="13.9" customHeight="1" x14ac:dyDescent="0.2">
      <c r="A123" s="1562">
        <v>1655</v>
      </c>
      <c r="B123" s="1288" t="s">
        <v>921</v>
      </c>
      <c r="C123" s="1556">
        <v>2159364527</v>
      </c>
      <c r="D123" s="1556">
        <v>2156865527</v>
      </c>
      <c r="E123" s="1554">
        <f t="shared" si="6"/>
        <v>2499000</v>
      </c>
      <c r="F123" s="1555">
        <f t="shared" si="7"/>
        <v>1.1586257783422768E-3</v>
      </c>
      <c r="G123" s="1919"/>
      <c r="H123" s="1573">
        <f t="shared" si="8"/>
        <v>1.0865179845818604E-4</v>
      </c>
      <c r="I123" s="1288"/>
      <c r="J123" s="1284"/>
      <c r="K123" s="1284"/>
      <c r="L123" s="1281"/>
      <c r="M123" s="1281"/>
      <c r="N123" s="1282"/>
      <c r="O123" s="1284"/>
      <c r="P123" s="1288"/>
      <c r="Q123" s="1284"/>
      <c r="R123" s="1582"/>
      <c r="S123" s="1288"/>
    </row>
    <row r="124" spans="1:20" s="1285" customFormat="1" ht="13.9" customHeight="1" x14ac:dyDescent="0.2">
      <c r="A124" s="1562">
        <v>1660</v>
      </c>
      <c r="B124" s="1288" t="s">
        <v>922</v>
      </c>
      <c r="C124" s="1556">
        <v>14775626</v>
      </c>
      <c r="D124" s="1556">
        <v>14775626</v>
      </c>
      <c r="E124" s="1554">
        <f t="shared" si="6"/>
        <v>0</v>
      </c>
      <c r="F124" s="1555">
        <f t="shared" si="7"/>
        <v>0</v>
      </c>
      <c r="G124" s="1919"/>
      <c r="H124" s="1573">
        <f t="shared" si="8"/>
        <v>7.4345869730290962E-7</v>
      </c>
      <c r="I124" s="1288"/>
      <c r="J124" s="1284"/>
      <c r="K124" s="1284"/>
      <c r="L124" s="1281"/>
      <c r="M124" s="1281"/>
      <c r="N124" s="1282"/>
      <c r="O124" s="1284"/>
      <c r="P124" s="1288"/>
      <c r="Q124" s="1284"/>
      <c r="R124" s="1582"/>
      <c r="S124" s="1288"/>
    </row>
    <row r="125" spans="1:20" s="1285" customFormat="1" ht="13.9" customHeight="1" x14ac:dyDescent="0.2">
      <c r="A125" s="1562">
        <v>1665</v>
      </c>
      <c r="B125" s="1288" t="s">
        <v>923</v>
      </c>
      <c r="C125" s="1556">
        <v>2983554281</v>
      </c>
      <c r="D125" s="1556">
        <v>3109640235</v>
      </c>
      <c r="E125" s="1554">
        <f t="shared" si="6"/>
        <v>-126085954</v>
      </c>
      <c r="F125" s="1555">
        <f t="shared" si="7"/>
        <v>-4.0546797851681388E-2</v>
      </c>
      <c r="G125" s="1919"/>
      <c r="H125" s="1573">
        <f t="shared" si="8"/>
        <v>1.5012219306882694E-4</v>
      </c>
      <c r="I125" s="1288"/>
      <c r="J125" s="1284"/>
      <c r="K125" s="1284"/>
      <c r="L125" s="1281"/>
      <c r="M125" s="1281"/>
      <c r="N125" s="1282"/>
      <c r="O125" s="1284"/>
      <c r="P125" s="1288"/>
      <c r="Q125" s="1284"/>
      <c r="R125" s="1582"/>
      <c r="S125" s="1288"/>
    </row>
    <row r="126" spans="1:20" s="1285" customFormat="1" ht="13.9" customHeight="1" x14ac:dyDescent="0.2">
      <c r="A126" s="1562">
        <v>1670</v>
      </c>
      <c r="B126" s="1288" t="s">
        <v>1793</v>
      </c>
      <c r="C126" s="1556">
        <v>21013404288</v>
      </c>
      <c r="D126" s="1556">
        <v>20791597138</v>
      </c>
      <c r="E126" s="1554">
        <f t="shared" si="6"/>
        <v>221807150</v>
      </c>
      <c r="F126" s="1555">
        <f t="shared" si="7"/>
        <v>1.0668115033578235E-2</v>
      </c>
      <c r="G126" s="1919"/>
      <c r="H126" s="1573">
        <f t="shared" si="8"/>
        <v>1.0573222534094903E-3</v>
      </c>
      <c r="I126" s="1288"/>
      <c r="J126" s="1284"/>
      <c r="K126" s="1284"/>
      <c r="L126" s="1281"/>
      <c r="M126" s="1281"/>
      <c r="N126" s="1282"/>
      <c r="O126" s="1284"/>
      <c r="P126" s="1288"/>
      <c r="Q126" s="1284"/>
      <c r="R126" s="1582"/>
      <c r="S126" s="1288"/>
    </row>
    <row r="127" spans="1:20" s="1285" customFormat="1" ht="13.9" customHeight="1" x14ac:dyDescent="0.2">
      <c r="A127" s="1562">
        <v>1675</v>
      </c>
      <c r="B127" s="1288" t="s">
        <v>1784</v>
      </c>
      <c r="C127" s="1556">
        <v>2861184669</v>
      </c>
      <c r="D127" s="1556">
        <v>2861184669</v>
      </c>
      <c r="E127" s="1554">
        <f t="shared" si="6"/>
        <v>0</v>
      </c>
      <c r="F127" s="1555">
        <f t="shared" si="7"/>
        <v>0</v>
      </c>
      <c r="G127" s="1919"/>
      <c r="H127" s="1573">
        <f t="shared" si="8"/>
        <v>1.4396497493627657E-4</v>
      </c>
      <c r="I127" s="1288"/>
      <c r="J127" s="1284"/>
      <c r="K127" s="1284"/>
      <c r="L127" s="1281"/>
      <c r="M127" s="1281"/>
      <c r="N127" s="1282"/>
      <c r="O127" s="1284"/>
      <c r="P127" s="1288"/>
      <c r="Q127" s="1284"/>
      <c r="R127" s="1582"/>
      <c r="S127" s="1288"/>
    </row>
    <row r="128" spans="1:20" s="1285" customFormat="1" ht="13.9" customHeight="1" x14ac:dyDescent="0.2">
      <c r="A128" s="1562">
        <v>1680</v>
      </c>
      <c r="B128" s="1288" t="s">
        <v>1794</v>
      </c>
      <c r="C128" s="1556">
        <v>100357270</v>
      </c>
      <c r="D128" s="1556">
        <v>104895380</v>
      </c>
      <c r="E128" s="1554">
        <f t="shared" si="6"/>
        <v>-4538110</v>
      </c>
      <c r="F128" s="1555">
        <f t="shared" si="7"/>
        <v>-4.32632018683759E-2</v>
      </c>
      <c r="G128" s="1919"/>
      <c r="H128" s="1573">
        <f t="shared" si="8"/>
        <v>5.049632768119359E-6</v>
      </c>
      <c r="I128" s="1288"/>
      <c r="J128" s="1284"/>
      <c r="K128" s="1284"/>
      <c r="L128" s="1281"/>
      <c r="M128" s="1281"/>
      <c r="N128" s="1282"/>
      <c r="O128" s="1284"/>
      <c r="P128" s="1288"/>
      <c r="Q128" s="1284"/>
      <c r="R128" s="1582"/>
      <c r="S128" s="1288"/>
    </row>
    <row r="129" spans="1:20" s="1285" customFormat="1" ht="13.9" customHeight="1" x14ac:dyDescent="0.2">
      <c r="A129" s="1562">
        <v>1685</v>
      </c>
      <c r="B129" s="1288" t="s">
        <v>1809</v>
      </c>
      <c r="C129" s="1556">
        <v>-28729866660</v>
      </c>
      <c r="D129" s="1556">
        <v>-27484250083</v>
      </c>
      <c r="E129" s="1554">
        <f t="shared" si="6"/>
        <v>-1245616577</v>
      </c>
      <c r="F129" s="1555">
        <f t="shared" si="7"/>
        <v>4.5321104750478847E-2</v>
      </c>
      <c r="G129" s="1919"/>
      <c r="H129" s="1573">
        <f t="shared" si="8"/>
        <v>-1.4455881084652451E-3</v>
      </c>
      <c r="I129" s="1288"/>
      <c r="J129" s="1284"/>
      <c r="K129" s="1284"/>
      <c r="L129" s="1281"/>
      <c r="M129" s="1281"/>
      <c r="N129" s="1282"/>
      <c r="O129" s="1284"/>
      <c r="P129" s="1288"/>
      <c r="Q129" s="1284"/>
      <c r="R129" s="1582"/>
      <c r="S129" s="1288"/>
    </row>
    <row r="130" spans="1:20" s="1285" customFormat="1" ht="13.9" customHeight="1" x14ac:dyDescent="0.2">
      <c r="A130" s="1562">
        <v>1695</v>
      </c>
      <c r="B130" s="1288" t="s">
        <v>1795</v>
      </c>
      <c r="C130" s="1556">
        <v>-1576313006</v>
      </c>
      <c r="D130" s="1556">
        <v>-1891810241</v>
      </c>
      <c r="E130" s="1554">
        <f t="shared" si="6"/>
        <v>315497235</v>
      </c>
      <c r="F130" s="1555">
        <f t="shared" si="7"/>
        <v>-0.16677002172967939</v>
      </c>
      <c r="G130" s="1920"/>
      <c r="H130" s="1573">
        <f t="shared" si="8"/>
        <v>-7.9314650626808878E-5</v>
      </c>
      <c r="I130" s="1288"/>
      <c r="J130" s="1284"/>
      <c r="K130" s="1284"/>
      <c r="L130" s="1281"/>
      <c r="M130" s="1281"/>
      <c r="N130" s="1282"/>
      <c r="O130" s="1284"/>
      <c r="P130" s="1288"/>
      <c r="Q130" s="1284"/>
      <c r="R130" s="1582"/>
      <c r="S130" s="1288"/>
    </row>
    <row r="131" spans="1:20" s="1285" customFormat="1" ht="13.9" customHeight="1" x14ac:dyDescent="0.2">
      <c r="A131" s="1562">
        <v>1705</v>
      </c>
      <c r="B131" s="1288" t="s">
        <v>1785</v>
      </c>
      <c r="C131" s="1556">
        <v>5287286580229</v>
      </c>
      <c r="D131" s="1556">
        <v>4139189313042</v>
      </c>
      <c r="E131" s="1554">
        <f t="shared" si="6"/>
        <v>1148097267187</v>
      </c>
      <c r="F131" s="1555">
        <f t="shared" si="7"/>
        <v>0.27737249503652994</v>
      </c>
      <c r="G131" s="1900" t="s">
        <v>1859</v>
      </c>
      <c r="H131" s="1573">
        <f t="shared" si="8"/>
        <v>0.2660380814460388</v>
      </c>
      <c r="I131" s="1288" t="s">
        <v>494</v>
      </c>
      <c r="J131" s="1284"/>
      <c r="K131" s="1581">
        <f>+H131</f>
        <v>0.2660380814460388</v>
      </c>
      <c r="L131" s="1281"/>
      <c r="M131" s="1281"/>
      <c r="N131" s="1282" t="s">
        <v>1353</v>
      </c>
      <c r="O131" s="1284"/>
      <c r="P131" s="1288"/>
      <c r="Q131" s="1284" t="s">
        <v>1353</v>
      </c>
      <c r="R131" s="1582" t="s">
        <v>1353</v>
      </c>
      <c r="S131" s="1914" t="s">
        <v>1896</v>
      </c>
    </row>
    <row r="132" spans="1:20" s="1285" customFormat="1" ht="13.9" customHeight="1" x14ac:dyDescent="0.2">
      <c r="A132" s="1562">
        <v>1710</v>
      </c>
      <c r="B132" s="1288" t="s">
        <v>1786</v>
      </c>
      <c r="C132" s="1556">
        <v>18187255276490</v>
      </c>
      <c r="D132" s="1556">
        <v>16929606586752</v>
      </c>
      <c r="E132" s="1554">
        <f t="shared" si="6"/>
        <v>1257648689738</v>
      </c>
      <c r="F132" s="1555">
        <f t="shared" si="7"/>
        <v>7.4286941240687382E-2</v>
      </c>
      <c r="G132" s="1902"/>
      <c r="H132" s="1573">
        <f t="shared" si="8"/>
        <v>0.91512015229505161</v>
      </c>
      <c r="I132" s="1288" t="s">
        <v>494</v>
      </c>
      <c r="J132" s="1284"/>
      <c r="K132" s="1581">
        <f>+H132</f>
        <v>0.91512015229505161</v>
      </c>
      <c r="L132" s="1281"/>
      <c r="M132" s="1281"/>
      <c r="N132" s="1282" t="s">
        <v>1353</v>
      </c>
      <c r="O132" s="1284"/>
      <c r="P132" s="1288"/>
      <c r="Q132" s="1284" t="s">
        <v>1353</v>
      </c>
      <c r="R132" s="1582" t="s">
        <v>1353</v>
      </c>
      <c r="S132" s="1916"/>
    </row>
    <row r="133" spans="1:20" s="1285" customFormat="1" ht="13.9" customHeight="1" x14ac:dyDescent="0.2">
      <c r="A133" s="1562">
        <v>1785</v>
      </c>
      <c r="B133" s="1288" t="s">
        <v>1796</v>
      </c>
      <c r="C133" s="1556">
        <v>-5684721118148</v>
      </c>
      <c r="D133" s="1556">
        <v>-5484345692183</v>
      </c>
      <c r="E133" s="1554">
        <f t="shared" si="6"/>
        <v>-200375425965</v>
      </c>
      <c r="F133" s="1555">
        <f t="shared" si="7"/>
        <v>3.6535885447666255E-2</v>
      </c>
      <c r="G133" s="1901"/>
      <c r="H133" s="1573">
        <f t="shared" si="8"/>
        <v>-0.2860356208954295</v>
      </c>
      <c r="I133" s="1288" t="s">
        <v>494</v>
      </c>
      <c r="J133" s="1284"/>
      <c r="K133" s="1581">
        <f>+H133</f>
        <v>-0.2860356208954295</v>
      </c>
      <c r="L133" s="1281"/>
      <c r="M133" s="1281"/>
      <c r="N133" s="1282" t="s">
        <v>1353</v>
      </c>
      <c r="O133" s="1284"/>
      <c r="P133" s="1288"/>
      <c r="Q133" s="1284" t="s">
        <v>1353</v>
      </c>
      <c r="R133" s="1582"/>
      <c r="S133" s="1288"/>
    </row>
    <row r="134" spans="1:20" s="1285" customFormat="1" ht="13.9" customHeight="1" x14ac:dyDescent="0.2">
      <c r="A134" s="1562">
        <v>1902</v>
      </c>
      <c r="B134" s="1288" t="s">
        <v>1787</v>
      </c>
      <c r="C134" s="1556">
        <v>899670410</v>
      </c>
      <c r="D134" s="1556">
        <v>903630634</v>
      </c>
      <c r="E134" s="1554">
        <f t="shared" si="6"/>
        <v>-3960224</v>
      </c>
      <c r="F134" s="1555">
        <f t="shared" si="7"/>
        <v>-4.3825694382114101E-3</v>
      </c>
      <c r="G134" s="1577" t="s">
        <v>1860</v>
      </c>
      <c r="H134" s="1573">
        <f t="shared" si="8"/>
        <v>4.526832169551223E-5</v>
      </c>
      <c r="I134" s="1288"/>
      <c r="J134" s="1284"/>
      <c r="K134" s="1284"/>
      <c r="L134" s="1281"/>
      <c r="M134" s="1281"/>
      <c r="N134" s="1282"/>
      <c r="O134" s="1284"/>
      <c r="P134" s="1288"/>
      <c r="Q134" s="1284"/>
      <c r="R134" s="1582"/>
      <c r="S134" s="1288"/>
    </row>
    <row r="135" spans="1:20" s="1285" customFormat="1" ht="13.9" customHeight="1" x14ac:dyDescent="0.2">
      <c r="A135" s="1562">
        <v>1905</v>
      </c>
      <c r="B135" s="1288" t="s">
        <v>924</v>
      </c>
      <c r="C135" s="1556">
        <v>0</v>
      </c>
      <c r="D135" s="1556">
        <v>1409881937</v>
      </c>
      <c r="E135" s="1554">
        <f t="shared" si="6"/>
        <v>-1409881937</v>
      </c>
      <c r="F135" s="1555">
        <f t="shared" si="7"/>
        <v>-1</v>
      </c>
      <c r="G135" s="1577" t="s">
        <v>1861</v>
      </c>
      <c r="H135" s="1573">
        <f t="shared" si="8"/>
        <v>0</v>
      </c>
      <c r="I135" s="1288"/>
      <c r="J135" s="1573">
        <f>+F135</f>
        <v>-1</v>
      </c>
      <c r="K135" s="1284"/>
      <c r="L135" s="1281"/>
      <c r="M135" s="1281"/>
      <c r="N135" s="1282" t="s">
        <v>1353</v>
      </c>
      <c r="O135" s="1284"/>
      <c r="P135" s="1288"/>
      <c r="Q135" s="1284" t="s">
        <v>1353</v>
      </c>
      <c r="R135" s="1582"/>
      <c r="S135" s="1288"/>
    </row>
    <row r="136" spans="1:20" s="1285" customFormat="1" ht="13.9" customHeight="1" x14ac:dyDescent="0.2">
      <c r="A136" s="1562">
        <v>1906</v>
      </c>
      <c r="B136" s="1288" t="s">
        <v>1788</v>
      </c>
      <c r="C136" s="1556">
        <f>55796948065+168747946635</f>
        <v>224544894700</v>
      </c>
      <c r="D136" s="1556">
        <v>251343879707</v>
      </c>
      <c r="E136" s="1554">
        <f t="shared" si="6"/>
        <v>-26798985007</v>
      </c>
      <c r="F136" s="1555">
        <f t="shared" si="7"/>
        <v>-0.10662278722776332</v>
      </c>
      <c r="G136" s="1577" t="s">
        <v>1862</v>
      </c>
      <c r="H136" s="1573">
        <f t="shared" si="8"/>
        <v>1.1298327048862838E-2</v>
      </c>
      <c r="I136" s="1288"/>
      <c r="J136" s="1284"/>
      <c r="K136" s="1284"/>
      <c r="L136" s="1281"/>
      <c r="M136" s="1281"/>
      <c r="N136" s="1282"/>
      <c r="O136" s="1284" t="s">
        <v>165</v>
      </c>
      <c r="P136" s="1288"/>
      <c r="Q136" s="1284"/>
      <c r="R136" s="1582" t="s">
        <v>1353</v>
      </c>
      <c r="S136" s="1288" t="s">
        <v>1895</v>
      </c>
      <c r="T136" s="1285" t="s">
        <v>144</v>
      </c>
    </row>
    <row r="137" spans="1:20" s="1285" customFormat="1" ht="13.9" customHeight="1" x14ac:dyDescent="0.2">
      <c r="A137" s="1562">
        <v>1907</v>
      </c>
      <c r="B137" s="1288" t="s">
        <v>1797</v>
      </c>
      <c r="C137" s="1556">
        <v>31679447</v>
      </c>
      <c r="D137" s="1556">
        <v>29366809</v>
      </c>
      <c r="E137" s="1554">
        <f t="shared" si="6"/>
        <v>2312638</v>
      </c>
      <c r="F137" s="1555">
        <f t="shared" si="7"/>
        <v>7.8750060995731605E-2</v>
      </c>
      <c r="G137" s="1577" t="s">
        <v>1868</v>
      </c>
      <c r="H137" s="1573">
        <f t="shared" si="8"/>
        <v>1.5940008496355124E-6</v>
      </c>
      <c r="I137" s="1288"/>
      <c r="J137" s="1284"/>
      <c r="K137" s="1284"/>
      <c r="L137" s="1281"/>
      <c r="M137" s="1281"/>
      <c r="N137" s="1282"/>
      <c r="O137" s="1284" t="s">
        <v>165</v>
      </c>
      <c r="P137" s="1288"/>
      <c r="Q137" s="1284"/>
      <c r="R137" s="1582"/>
      <c r="S137" s="1288"/>
    </row>
    <row r="138" spans="1:20" s="1285" customFormat="1" ht="13.9" customHeight="1" x14ac:dyDescent="0.2">
      <c r="A138" s="1562">
        <v>1908</v>
      </c>
      <c r="B138" s="1288" t="s">
        <v>1798</v>
      </c>
      <c r="C138" s="1556">
        <f>597566843107+696938481783</f>
        <v>1294505324890</v>
      </c>
      <c r="D138" s="1556">
        <v>46314829161</v>
      </c>
      <c r="E138" s="1554">
        <f t="shared" si="6"/>
        <v>1248190495729</v>
      </c>
      <c r="F138" s="1555">
        <f t="shared" si="7"/>
        <v>26.950126305983549</v>
      </c>
      <c r="G138" s="1577" t="s">
        <v>1869</v>
      </c>
      <c r="H138" s="1573">
        <f t="shared" si="8"/>
        <v>6.5135057052364428E-2</v>
      </c>
      <c r="I138" s="1288"/>
      <c r="J138" s="1578">
        <f>+F138</f>
        <v>26.950126305983549</v>
      </c>
      <c r="K138" s="1284"/>
      <c r="L138" s="1281"/>
      <c r="M138" s="1281"/>
      <c r="N138" s="1282" t="s">
        <v>1353</v>
      </c>
      <c r="O138" s="1284" t="s">
        <v>165</v>
      </c>
      <c r="P138" s="1288"/>
      <c r="Q138" s="1284" t="s">
        <v>1353</v>
      </c>
      <c r="R138" s="1582"/>
      <c r="S138" s="1288"/>
    </row>
    <row r="139" spans="1:20" s="1285" customFormat="1" ht="13.9" customHeight="1" x14ac:dyDescent="0.2">
      <c r="A139" s="1562">
        <v>1909</v>
      </c>
      <c r="B139" s="1288" t="s">
        <v>1789</v>
      </c>
      <c r="C139" s="1556">
        <v>1039649688</v>
      </c>
      <c r="D139" s="1556">
        <v>1047209688</v>
      </c>
      <c r="E139" s="1554">
        <f t="shared" si="6"/>
        <v>-7560000</v>
      </c>
      <c r="F139" s="1555">
        <f t="shared" si="7"/>
        <v>-7.2191845497899939E-3</v>
      </c>
      <c r="G139" s="1577" t="s">
        <v>1870</v>
      </c>
      <c r="H139" s="1573">
        <f t="shared" si="8"/>
        <v>5.2311597673889175E-5</v>
      </c>
      <c r="I139" s="1288"/>
      <c r="J139" s="1284"/>
      <c r="K139" s="1284"/>
      <c r="L139" s="1281"/>
      <c r="M139" s="1281"/>
      <c r="N139" s="1282"/>
      <c r="O139" s="1284" t="s">
        <v>165</v>
      </c>
      <c r="P139" s="1288"/>
      <c r="Q139" s="1284"/>
      <c r="R139" s="1582"/>
      <c r="S139" s="1288"/>
    </row>
    <row r="140" spans="1:20" s="1285" customFormat="1" ht="13.9" customHeight="1" x14ac:dyDescent="0.2">
      <c r="A140" s="1562">
        <v>1970</v>
      </c>
      <c r="B140" s="1288" t="s">
        <v>1790</v>
      </c>
      <c r="C140" s="1556">
        <v>24111493548</v>
      </c>
      <c r="D140" s="1556">
        <v>23359993548</v>
      </c>
      <c r="E140" s="1554">
        <f t="shared" si="6"/>
        <v>751500000</v>
      </c>
      <c r="F140" s="1555">
        <f t="shared" si="7"/>
        <v>3.2170385597745203E-2</v>
      </c>
      <c r="G140" s="1900" t="s">
        <v>1871</v>
      </c>
      <c r="H140" s="1573">
        <f t="shared" si="8"/>
        <v>1.2132074528161169E-3</v>
      </c>
      <c r="I140" s="1288"/>
      <c r="J140" s="1284"/>
      <c r="K140" s="1284"/>
      <c r="L140" s="1281"/>
      <c r="M140" s="1281"/>
      <c r="N140" s="1282"/>
      <c r="O140" s="1284"/>
      <c r="P140" s="1288"/>
      <c r="Q140" s="1284"/>
      <c r="R140" s="1582"/>
      <c r="S140" s="1288"/>
    </row>
    <row r="141" spans="1:20" s="1285" customFormat="1" ht="13.9" customHeight="1" x14ac:dyDescent="0.2">
      <c r="A141" s="1562">
        <v>1975</v>
      </c>
      <c r="B141" s="1288" t="s">
        <v>1791</v>
      </c>
      <c r="C141" s="1556">
        <v>-6170109053</v>
      </c>
      <c r="D141" s="1556">
        <v>-4825710623</v>
      </c>
      <c r="E141" s="1554">
        <f>+C141-D141</f>
        <v>-1344398430</v>
      </c>
      <c r="F141" s="1555">
        <f t="shared" si="7"/>
        <v>0.27859076828859408</v>
      </c>
      <c r="G141" s="1901"/>
      <c r="H141" s="1573">
        <f t="shared" si="8"/>
        <v>-3.1045867286843003E-4</v>
      </c>
      <c r="I141" s="1288"/>
      <c r="J141" s="1284"/>
      <c r="K141" s="1284"/>
      <c r="L141" s="1281"/>
      <c r="M141" s="1281"/>
      <c r="N141" s="1282"/>
      <c r="O141" s="1284"/>
      <c r="P141" s="1288"/>
      <c r="Q141" s="1284"/>
      <c r="R141" s="1582"/>
      <c r="S141" s="1288"/>
    </row>
    <row r="142" spans="1:20" s="1285" customFormat="1" ht="13.9" customHeight="1" x14ac:dyDescent="0.2">
      <c r="A142" s="1562">
        <v>1976</v>
      </c>
      <c r="B142" s="1288" t="s">
        <v>1792</v>
      </c>
      <c r="C142" s="1556">
        <v>-108842941</v>
      </c>
      <c r="D142" s="1556">
        <v>-108842941</v>
      </c>
      <c r="E142" s="1554">
        <f t="shared" ref="E142:E172" si="9">+C142-D142</f>
        <v>0</v>
      </c>
      <c r="F142" s="1555">
        <f t="shared" si="7"/>
        <v>0</v>
      </c>
      <c r="G142" s="1575" t="s">
        <v>1863</v>
      </c>
      <c r="H142" s="1573">
        <f t="shared" si="8"/>
        <v>-5.476602556566974E-6</v>
      </c>
      <c r="I142" s="1288"/>
      <c r="J142" s="1284"/>
      <c r="K142" s="1284"/>
      <c r="L142" s="1281"/>
      <c r="M142" s="1281"/>
      <c r="N142" s="1282"/>
      <c r="O142" s="1284"/>
      <c r="P142" s="1288"/>
      <c r="Q142" s="1284"/>
      <c r="R142" s="1582"/>
      <c r="S142" s="1288"/>
    </row>
    <row r="143" spans="1:20" s="1285" customFormat="1" ht="13.9" customHeight="1" x14ac:dyDescent="0.2">
      <c r="A143" s="1562">
        <v>1986</v>
      </c>
      <c r="B143" s="1288" t="s">
        <v>1810</v>
      </c>
      <c r="C143" s="1556">
        <v>862075020</v>
      </c>
      <c r="D143" s="1556">
        <v>0</v>
      </c>
      <c r="E143" s="1554">
        <f t="shared" si="9"/>
        <v>862075020</v>
      </c>
      <c r="F143" s="1555" t="s">
        <v>1846</v>
      </c>
      <c r="G143" s="1577" t="s">
        <v>1872</v>
      </c>
      <c r="H143" s="1573">
        <f t="shared" si="8"/>
        <v>4.3376650934896411E-5</v>
      </c>
      <c r="I143" s="1288"/>
      <c r="J143" s="1284"/>
      <c r="K143" s="1284"/>
      <c r="L143" s="1281"/>
      <c r="M143" s="1281"/>
      <c r="N143" s="1282"/>
      <c r="O143" s="1284"/>
      <c r="P143" s="1288"/>
      <c r="Q143" s="1284"/>
      <c r="R143" s="1582"/>
      <c r="S143" s="1288"/>
    </row>
    <row r="144" spans="1:20" s="1285" customFormat="1" ht="13.9" hidden="1" customHeight="1" x14ac:dyDescent="0.2">
      <c r="A144" s="1562"/>
      <c r="B144" s="1288" t="s">
        <v>891</v>
      </c>
      <c r="C144" s="1556">
        <f>SUM(C105:C143)</f>
        <v>19874171966247</v>
      </c>
      <c r="D144" s="1556">
        <f>SUM(D105:D142)</f>
        <v>17754557289774</v>
      </c>
      <c r="E144" s="1554">
        <f t="shared" si="9"/>
        <v>2119614676473</v>
      </c>
      <c r="F144" s="1555">
        <f t="shared" ref="F144:F149" si="10">+(C144-D144)/D144</f>
        <v>0.11938425959479279</v>
      </c>
      <c r="G144" s="1577"/>
      <c r="H144" s="1573">
        <f t="shared" si="8"/>
        <v>1</v>
      </c>
      <c r="I144" s="1288"/>
      <c r="J144" s="1284"/>
      <c r="K144" s="1284"/>
      <c r="L144" s="1281"/>
      <c r="M144" s="1281"/>
      <c r="N144" s="1282"/>
      <c r="O144" s="1284"/>
      <c r="P144" s="1288"/>
      <c r="Q144" s="1284"/>
      <c r="R144" s="1582"/>
      <c r="S144" s="1288"/>
    </row>
    <row r="145" spans="1:19" s="1285" customFormat="1" ht="13.9" customHeight="1" x14ac:dyDescent="0.2">
      <c r="A145" s="1562">
        <v>2401</v>
      </c>
      <c r="B145" s="1288" t="s">
        <v>1799</v>
      </c>
      <c r="C145" s="1556">
        <v>51765649</v>
      </c>
      <c r="D145" s="1556">
        <v>98095555</v>
      </c>
      <c r="E145" s="1554">
        <f t="shared" si="9"/>
        <v>-46329906</v>
      </c>
      <c r="F145" s="1555">
        <f t="shared" si="10"/>
        <v>-0.47229363246887179</v>
      </c>
      <c r="G145" s="1577" t="s">
        <v>1873</v>
      </c>
      <c r="H145" s="1573">
        <f t="shared" si="8"/>
        <v>2.6046694719113534E-6</v>
      </c>
      <c r="I145" s="1288"/>
      <c r="J145" s="1578">
        <f>+F145</f>
        <v>-0.47229363246887179</v>
      </c>
      <c r="K145" s="1284"/>
      <c r="L145" s="1281"/>
      <c r="M145" s="1281"/>
      <c r="N145" s="1282" t="s">
        <v>1353</v>
      </c>
      <c r="O145" s="1284"/>
      <c r="P145" s="1288"/>
      <c r="Q145" s="1284" t="s">
        <v>1353</v>
      </c>
      <c r="R145" s="1582"/>
      <c r="S145" s="1288"/>
    </row>
    <row r="146" spans="1:19" s="1285" customFormat="1" ht="13.9" customHeight="1" x14ac:dyDescent="0.2">
      <c r="A146" s="1562">
        <v>2407</v>
      </c>
      <c r="B146" s="1288" t="s">
        <v>1800</v>
      </c>
      <c r="C146" s="1556">
        <v>8683851651</v>
      </c>
      <c r="D146" s="1556">
        <v>10500050032</v>
      </c>
      <c r="E146" s="1554">
        <f t="shared" si="9"/>
        <v>-1816198381</v>
      </c>
      <c r="F146" s="1555">
        <f t="shared" si="10"/>
        <v>-0.17297045018499393</v>
      </c>
      <c r="G146" s="1577" t="s">
        <v>1874</v>
      </c>
      <c r="H146" s="1573">
        <f t="shared" si="8"/>
        <v>4.3694155740164111E-4</v>
      </c>
      <c r="I146" s="1288"/>
      <c r="J146" s="1284"/>
      <c r="K146" s="1284"/>
      <c r="L146" s="1281"/>
      <c r="M146" s="1281"/>
      <c r="N146" s="1282"/>
      <c r="O146" s="1284"/>
      <c r="P146" s="1288"/>
      <c r="Q146" s="1284"/>
      <c r="R146" s="1582"/>
      <c r="S146" s="1288"/>
    </row>
    <row r="147" spans="1:19" s="1285" customFormat="1" ht="13.9" customHeight="1" x14ac:dyDescent="0.2">
      <c r="A147" s="1562">
        <v>2424</v>
      </c>
      <c r="B147" s="1288" t="s">
        <v>1807</v>
      </c>
      <c r="C147" s="1556">
        <v>490375544</v>
      </c>
      <c r="D147" s="1556">
        <v>453160289</v>
      </c>
      <c r="E147" s="1554">
        <f t="shared" si="9"/>
        <v>37215255</v>
      </c>
      <c r="F147" s="1555">
        <f t="shared" si="10"/>
        <v>8.212382219572642E-2</v>
      </c>
      <c r="G147" s="1577" t="s">
        <v>1875</v>
      </c>
      <c r="H147" s="1573">
        <f t="shared" si="8"/>
        <v>2.4674011316437328E-5</v>
      </c>
      <c r="I147" s="1288"/>
      <c r="J147" s="1284"/>
      <c r="K147" s="1284"/>
      <c r="L147" s="1281"/>
      <c r="M147" s="1281"/>
      <c r="N147" s="1282"/>
      <c r="O147" s="1284"/>
      <c r="P147" s="1288"/>
      <c r="Q147" s="1284"/>
      <c r="R147" s="1582"/>
      <c r="S147" s="1288"/>
    </row>
    <row r="148" spans="1:19" s="1285" customFormat="1" ht="13.9" customHeight="1" x14ac:dyDescent="0.2">
      <c r="A148" s="1562">
        <v>2436</v>
      </c>
      <c r="B148" s="1288" t="s">
        <v>1801</v>
      </c>
      <c r="C148" s="1556">
        <v>11259374076</v>
      </c>
      <c r="D148" s="1556">
        <v>12700854492</v>
      </c>
      <c r="E148" s="1554">
        <f t="shared" si="9"/>
        <v>-1441480416</v>
      </c>
      <c r="F148" s="1555">
        <f t="shared" si="10"/>
        <v>-0.11349475871154638</v>
      </c>
      <c r="G148" s="1577" t="s">
        <v>1876</v>
      </c>
      <c r="H148" s="1573">
        <f t="shared" si="8"/>
        <v>5.6653299041198736E-4</v>
      </c>
      <c r="I148" s="1288"/>
      <c r="J148" s="1284"/>
      <c r="K148" s="1284"/>
      <c r="L148" s="1281"/>
      <c r="M148" s="1281"/>
      <c r="N148" s="1282"/>
      <c r="O148" s="1284"/>
      <c r="P148" s="1288"/>
      <c r="Q148" s="1284"/>
      <c r="R148" s="1582"/>
      <c r="S148" s="1288"/>
    </row>
    <row r="149" spans="1:19" s="1285" customFormat="1" ht="13.9" customHeight="1" x14ac:dyDescent="0.2">
      <c r="A149" s="1562">
        <v>2440</v>
      </c>
      <c r="B149" s="1288" t="s">
        <v>1808</v>
      </c>
      <c r="C149" s="1556">
        <v>430775197</v>
      </c>
      <c r="D149" s="1556">
        <v>438318925</v>
      </c>
      <c r="E149" s="1554">
        <f t="shared" si="9"/>
        <v>-7543728</v>
      </c>
      <c r="F149" s="1555">
        <f t="shared" si="10"/>
        <v>-1.7210591580092052E-2</v>
      </c>
      <c r="G149" s="1577" t="s">
        <v>1877</v>
      </c>
      <c r="H149" s="1573">
        <f t="shared" si="8"/>
        <v>2.1675126779198679E-5</v>
      </c>
      <c r="I149" s="1288"/>
      <c r="J149" s="1284"/>
      <c r="K149" s="1284"/>
      <c r="L149" s="1281"/>
      <c r="M149" s="1281"/>
      <c r="N149" s="1282"/>
      <c r="O149" s="1284"/>
      <c r="P149" s="1288"/>
      <c r="Q149" s="1284"/>
      <c r="R149" s="1582"/>
      <c r="S149" s="1288"/>
    </row>
    <row r="150" spans="1:19" s="1285" customFormat="1" ht="13.9" customHeight="1" x14ac:dyDescent="0.2">
      <c r="A150" s="1562">
        <v>2460</v>
      </c>
      <c r="B150" s="1288" t="s">
        <v>1802</v>
      </c>
      <c r="C150" s="1556">
        <v>0</v>
      </c>
      <c r="D150" s="1556">
        <v>0</v>
      </c>
      <c r="E150" s="1554">
        <f t="shared" si="9"/>
        <v>0</v>
      </c>
      <c r="F150" s="1555" t="s">
        <v>1846</v>
      </c>
      <c r="G150" s="1575" t="s">
        <v>1864</v>
      </c>
      <c r="H150" s="1573">
        <f t="shared" si="8"/>
        <v>0</v>
      </c>
      <c r="I150" s="1288"/>
      <c r="J150" s="1284"/>
      <c r="K150" s="1284"/>
      <c r="L150" s="1281"/>
      <c r="M150" s="1281"/>
      <c r="N150" s="1282"/>
      <c r="O150" s="1284"/>
      <c r="P150" s="1288"/>
      <c r="Q150" s="1284"/>
      <c r="R150" s="1582"/>
      <c r="S150" s="1288"/>
    </row>
    <row r="151" spans="1:19" s="1285" customFormat="1" ht="13.9" customHeight="1" x14ac:dyDescent="0.2">
      <c r="A151" s="1562">
        <v>2490</v>
      </c>
      <c r="B151" s="1288" t="s">
        <v>932</v>
      </c>
      <c r="C151" s="1556">
        <v>7607587639</v>
      </c>
      <c r="D151" s="1556">
        <v>4715386164</v>
      </c>
      <c r="E151" s="1554">
        <f t="shared" si="9"/>
        <v>2892201475</v>
      </c>
      <c r="F151" s="1555">
        <f t="shared" ref="F151:F172" si="11">+(C151-D151)/D151</f>
        <v>0.61335410810693469</v>
      </c>
      <c r="G151" s="1577" t="s">
        <v>1878</v>
      </c>
      <c r="H151" s="1573">
        <f t="shared" si="8"/>
        <v>3.8278765283505809E-4</v>
      </c>
      <c r="I151" s="1288"/>
      <c r="J151" s="1578">
        <f>+F151</f>
        <v>0.61335410810693469</v>
      </c>
      <c r="K151" s="1284"/>
      <c r="L151" s="1281"/>
      <c r="M151" s="1281"/>
      <c r="N151" s="1282" t="s">
        <v>1353</v>
      </c>
      <c r="O151" s="1284" t="s">
        <v>165</v>
      </c>
      <c r="P151" s="1288"/>
      <c r="Q151" s="1284" t="s">
        <v>1353</v>
      </c>
      <c r="R151" s="1582"/>
      <c r="S151" s="1288"/>
    </row>
    <row r="152" spans="1:19" s="1285" customFormat="1" ht="13.9" customHeight="1" x14ac:dyDescent="0.2">
      <c r="A152" s="1562">
        <v>2511</v>
      </c>
      <c r="B152" s="1288" t="s">
        <v>1803</v>
      </c>
      <c r="C152" s="1556">
        <v>22262078907</v>
      </c>
      <c r="D152" s="1556">
        <v>18482924373</v>
      </c>
      <c r="E152" s="1554">
        <f t="shared" si="9"/>
        <v>3779154534</v>
      </c>
      <c r="F152" s="1555">
        <f t="shared" si="11"/>
        <v>0.20446734822551232</v>
      </c>
      <c r="G152" s="1900" t="s">
        <v>1879</v>
      </c>
      <c r="H152" s="1573">
        <f t="shared" si="8"/>
        <v>1.1201512669211308E-3</v>
      </c>
      <c r="I152" s="1288"/>
      <c r="J152" s="1284"/>
      <c r="K152" s="1284"/>
      <c r="L152" s="1281"/>
      <c r="M152" s="1281"/>
      <c r="N152" s="1282"/>
      <c r="O152" s="1284" t="s">
        <v>165</v>
      </c>
      <c r="P152" s="1288"/>
      <c r="Q152" s="1284"/>
      <c r="R152" s="1582"/>
      <c r="S152" s="1288"/>
    </row>
    <row r="153" spans="1:19" s="1285" customFormat="1" ht="13.9" customHeight="1" x14ac:dyDescent="0.2">
      <c r="A153" s="1562">
        <v>2512</v>
      </c>
      <c r="B153" s="1288" t="s">
        <v>1804</v>
      </c>
      <c r="C153" s="1556">
        <v>4400756071</v>
      </c>
      <c r="D153" s="1556">
        <v>4407519722</v>
      </c>
      <c r="E153" s="1554">
        <f t="shared" si="9"/>
        <v>-6763651</v>
      </c>
      <c r="F153" s="1555">
        <f t="shared" si="11"/>
        <v>-1.5345707850697621E-3</v>
      </c>
      <c r="G153" s="1901"/>
      <c r="H153" s="1573">
        <f t="shared" si="8"/>
        <v>2.2143091437841825E-4</v>
      </c>
      <c r="I153" s="1288"/>
      <c r="J153" s="1284"/>
      <c r="K153" s="1284"/>
      <c r="L153" s="1288"/>
      <c r="M153" s="1288"/>
      <c r="N153" s="1284"/>
      <c r="O153" s="1284" t="s">
        <v>165</v>
      </c>
      <c r="P153" s="1288"/>
      <c r="Q153" s="1284"/>
      <c r="R153" s="1582"/>
      <c r="S153" s="1288"/>
    </row>
    <row r="154" spans="1:19" s="1285" customFormat="1" ht="13.9" customHeight="1" x14ac:dyDescent="0.2">
      <c r="A154" s="1562">
        <v>2701</v>
      </c>
      <c r="B154" s="1288" t="s">
        <v>933</v>
      </c>
      <c r="C154" s="1556">
        <v>61629520497</v>
      </c>
      <c r="D154" s="1556">
        <v>86349437807</v>
      </c>
      <c r="E154" s="1554">
        <f t="shared" si="9"/>
        <v>-24719917310</v>
      </c>
      <c r="F154" s="1555">
        <f t="shared" si="11"/>
        <v>-0.28627768677836207</v>
      </c>
      <c r="G154" s="1577" t="s">
        <v>1880</v>
      </c>
      <c r="H154" s="1573">
        <f t="shared" si="8"/>
        <v>3.1009855707028987E-3</v>
      </c>
      <c r="I154" s="1288"/>
      <c r="J154" s="1284"/>
      <c r="K154" s="1284"/>
      <c r="L154" s="1281"/>
      <c r="M154" s="1281"/>
      <c r="N154" s="1282"/>
      <c r="O154" s="1284" t="s">
        <v>165</v>
      </c>
      <c r="P154" s="1288"/>
      <c r="Q154" s="1284"/>
      <c r="R154" s="1582"/>
      <c r="S154" s="1288"/>
    </row>
    <row r="155" spans="1:19" s="1285" customFormat="1" ht="13.9" customHeight="1" x14ac:dyDescent="0.2">
      <c r="A155" s="1562">
        <v>2901</v>
      </c>
      <c r="B155" s="1288" t="s">
        <v>934</v>
      </c>
      <c r="C155" s="1556">
        <v>1676078052</v>
      </c>
      <c r="D155" s="1556">
        <v>245724123</v>
      </c>
      <c r="E155" s="1554">
        <f t="shared" si="9"/>
        <v>1430353929</v>
      </c>
      <c r="F155" s="1555">
        <f t="shared" si="11"/>
        <v>5.8209748051476415</v>
      </c>
      <c r="G155" s="1577" t="s">
        <v>1881</v>
      </c>
      <c r="H155" s="1573">
        <f t="shared" si="8"/>
        <v>8.4334484719491307E-5</v>
      </c>
      <c r="I155" s="1288"/>
      <c r="J155" s="1578">
        <f>+F155</f>
        <v>5.8209748051476415</v>
      </c>
      <c r="K155" s="1284"/>
      <c r="L155" s="1281"/>
      <c r="M155" s="1281"/>
      <c r="N155" s="1282" t="s">
        <v>1353</v>
      </c>
      <c r="O155" s="1284" t="s">
        <v>165</v>
      </c>
      <c r="P155" s="1288"/>
      <c r="Q155" s="1284" t="s">
        <v>1353</v>
      </c>
      <c r="R155" s="1582" t="s">
        <v>1353</v>
      </c>
      <c r="S155" s="1914" t="s">
        <v>1897</v>
      </c>
    </row>
    <row r="156" spans="1:19" s="1285" customFormat="1" ht="13.9" customHeight="1" x14ac:dyDescent="0.2">
      <c r="A156" s="1562">
        <v>2902</v>
      </c>
      <c r="B156" s="1288" t="s">
        <v>936</v>
      </c>
      <c r="C156" s="1556">
        <v>135924845901</v>
      </c>
      <c r="D156" s="1556">
        <v>100609815861</v>
      </c>
      <c r="E156" s="1554">
        <f t="shared" si="9"/>
        <v>35315030040</v>
      </c>
      <c r="F156" s="1555">
        <f t="shared" si="11"/>
        <v>0.35100978704493763</v>
      </c>
      <c r="G156" s="1577" t="s">
        <v>1882</v>
      </c>
      <c r="H156" s="1573">
        <f t="shared" si="8"/>
        <v>6.8392708955042712E-3</v>
      </c>
      <c r="I156" s="1288"/>
      <c r="J156" s="1284"/>
      <c r="K156" s="1284"/>
      <c r="L156" s="1281"/>
      <c r="M156" s="1281"/>
      <c r="N156" s="1282"/>
      <c r="O156" s="1284" t="s">
        <v>165</v>
      </c>
      <c r="P156" s="1288"/>
      <c r="Q156" s="1284"/>
      <c r="R156" s="1582" t="s">
        <v>1353</v>
      </c>
      <c r="S156" s="1915"/>
    </row>
    <row r="157" spans="1:19" s="1285" customFormat="1" ht="13.9" customHeight="1" x14ac:dyDescent="0.2">
      <c r="A157" s="1562">
        <v>2903</v>
      </c>
      <c r="B157" s="1288" t="s">
        <v>1805</v>
      </c>
      <c r="C157" s="1556">
        <v>76450499231</v>
      </c>
      <c r="D157" s="1556">
        <v>66265086548</v>
      </c>
      <c r="E157" s="1554">
        <f t="shared" si="9"/>
        <v>10185412683</v>
      </c>
      <c r="F157" s="1555">
        <f t="shared" si="11"/>
        <v>0.15370707583128349</v>
      </c>
      <c r="G157" s="1577" t="s">
        <v>1883</v>
      </c>
      <c r="H157" s="1573">
        <f t="shared" si="8"/>
        <v>3.8467262616444374E-3</v>
      </c>
      <c r="I157" s="1288"/>
      <c r="J157" s="1284"/>
      <c r="K157" s="1284"/>
      <c r="L157" s="1281"/>
      <c r="M157" s="1281"/>
      <c r="N157" s="1282"/>
      <c r="O157" s="1284" t="s">
        <v>165</v>
      </c>
      <c r="P157" s="1288"/>
      <c r="Q157" s="1284"/>
      <c r="R157" s="1582" t="s">
        <v>1353</v>
      </c>
      <c r="S157" s="1915"/>
    </row>
    <row r="158" spans="1:19" s="1285" customFormat="1" ht="13.9" customHeight="1" x14ac:dyDescent="0.2">
      <c r="A158" s="1562">
        <v>2910</v>
      </c>
      <c r="B158" s="1288" t="s">
        <v>939</v>
      </c>
      <c r="C158" s="1556">
        <v>2978015091</v>
      </c>
      <c r="D158" s="1556">
        <v>6267364963</v>
      </c>
      <c r="E158" s="1554">
        <f t="shared" si="9"/>
        <v>-3289349872</v>
      </c>
      <c r="F158" s="1555">
        <f t="shared" si="11"/>
        <v>-0.524837773357543</v>
      </c>
      <c r="G158" s="1577" t="s">
        <v>1884</v>
      </c>
      <c r="H158" s="1573">
        <f t="shared" si="8"/>
        <v>1.4984348007341725E-4</v>
      </c>
      <c r="I158" s="1288"/>
      <c r="J158" s="1578">
        <f>+F158</f>
        <v>-0.524837773357543</v>
      </c>
      <c r="K158" s="1284"/>
      <c r="L158" s="1281"/>
      <c r="M158" s="1281"/>
      <c r="N158" s="1282" t="s">
        <v>1353</v>
      </c>
      <c r="O158" s="1284" t="s">
        <v>165</v>
      </c>
      <c r="P158" s="1288"/>
      <c r="Q158" s="1284" t="s">
        <v>1353</v>
      </c>
      <c r="R158" s="1582" t="s">
        <v>1353</v>
      </c>
      <c r="S158" s="1915"/>
    </row>
    <row r="159" spans="1:19" s="1285" customFormat="1" ht="13.9" customHeight="1" x14ac:dyDescent="0.2">
      <c r="A159" s="1562">
        <v>2990</v>
      </c>
      <c r="B159" s="1288" t="s">
        <v>940</v>
      </c>
      <c r="C159" s="1556">
        <v>107085703558</v>
      </c>
      <c r="D159" s="1556">
        <v>135417278179</v>
      </c>
      <c r="E159" s="1554">
        <f t="shared" si="9"/>
        <v>-28331574621</v>
      </c>
      <c r="F159" s="1555">
        <f t="shared" si="11"/>
        <v>-0.20921683703869889</v>
      </c>
      <c r="G159" s="1577" t="s">
        <v>1885</v>
      </c>
      <c r="H159" s="1573">
        <f t="shared" si="8"/>
        <v>5.3881844103929157E-3</v>
      </c>
      <c r="I159" s="1288"/>
      <c r="J159" s="1284"/>
      <c r="K159" s="1284"/>
      <c r="L159" s="1281"/>
      <c r="M159" s="1281"/>
      <c r="N159" s="1282"/>
      <c r="O159" s="1284" t="s">
        <v>165</v>
      </c>
      <c r="P159" s="1288"/>
      <c r="Q159" s="1284"/>
      <c r="R159" s="1582" t="s">
        <v>1353</v>
      </c>
      <c r="S159" s="1916"/>
    </row>
    <row r="160" spans="1:19" s="1285" customFormat="1" ht="13.9" hidden="1" customHeight="1" x14ac:dyDescent="0.2">
      <c r="A160" s="1562"/>
      <c r="B160" s="1288"/>
      <c r="C160" s="1556">
        <f>SUM(C145:C159)</f>
        <v>440931227064</v>
      </c>
      <c r="D160" s="1556">
        <f>SUM(D145:D159)</f>
        <v>446951017033</v>
      </c>
      <c r="E160" s="1554">
        <f t="shared" si="9"/>
        <v>-6019789969</v>
      </c>
      <c r="F160" s="1555">
        <f t="shared" si="11"/>
        <v>-1.3468567560179726E-2</v>
      </c>
      <c r="G160" s="1577"/>
      <c r="H160" s="1573">
        <f t="shared" si="8"/>
        <v>2.2186143292553213E-2</v>
      </c>
      <c r="I160" s="1288"/>
      <c r="J160" s="1284"/>
      <c r="K160" s="1284"/>
      <c r="L160" s="1281"/>
      <c r="M160" s="1281"/>
      <c r="N160" s="1282"/>
      <c r="O160" s="1284"/>
      <c r="P160" s="1288"/>
      <c r="Q160" s="1284"/>
      <c r="R160" s="1582"/>
      <c r="S160" s="1288"/>
    </row>
    <row r="161" spans="1:19" s="1285" customFormat="1" ht="13.9" customHeight="1" x14ac:dyDescent="0.2">
      <c r="A161" s="1562">
        <v>3105</v>
      </c>
      <c r="B161" s="1288" t="s">
        <v>941</v>
      </c>
      <c r="C161" s="1556">
        <v>10543397789911</v>
      </c>
      <c r="D161" s="1556">
        <v>10543397789911</v>
      </c>
      <c r="E161" s="1554">
        <f t="shared" si="9"/>
        <v>0</v>
      </c>
      <c r="F161" s="1555">
        <f t="shared" si="11"/>
        <v>0</v>
      </c>
      <c r="G161" s="1575" t="s">
        <v>1864</v>
      </c>
      <c r="H161" s="1573">
        <f t="shared" si="8"/>
        <v>0.53050752543639157</v>
      </c>
      <c r="I161" s="1288" t="s">
        <v>494</v>
      </c>
      <c r="J161" s="1284"/>
      <c r="K161" s="1581">
        <f>+H161</f>
        <v>0.53050752543639157</v>
      </c>
      <c r="L161" s="1281"/>
      <c r="M161" s="1281"/>
      <c r="N161" s="1282" t="s">
        <v>1353</v>
      </c>
      <c r="O161" s="1284"/>
      <c r="P161" s="1288"/>
      <c r="Q161" s="1284" t="s">
        <v>1353</v>
      </c>
      <c r="R161" s="1582"/>
      <c r="S161" s="1288"/>
    </row>
    <row r="162" spans="1:19" s="1285" customFormat="1" ht="13.9" customHeight="1" x14ac:dyDescent="0.2">
      <c r="A162" s="1562">
        <v>3109</v>
      </c>
      <c r="B162" s="1288" t="s">
        <v>1806</v>
      </c>
      <c r="C162" s="1556">
        <v>7185603281659</v>
      </c>
      <c r="D162" s="1556">
        <v>5029606808778</v>
      </c>
      <c r="E162" s="1554">
        <f t="shared" si="9"/>
        <v>2155996472881</v>
      </c>
      <c r="F162" s="1555">
        <f t="shared" si="11"/>
        <v>0.42866103750261619</v>
      </c>
      <c r="G162" s="1577" t="s">
        <v>1887</v>
      </c>
      <c r="H162" s="1573">
        <f t="shared" si="8"/>
        <v>0.36155485088196687</v>
      </c>
      <c r="I162" s="1288" t="s">
        <v>494</v>
      </c>
      <c r="J162" s="1578">
        <f>+F162</f>
        <v>0.42866103750261619</v>
      </c>
      <c r="K162" s="1581">
        <f>+H162</f>
        <v>0.36155485088196687</v>
      </c>
      <c r="L162" s="1281"/>
      <c r="M162" s="1281"/>
      <c r="N162" s="1282" t="s">
        <v>1353</v>
      </c>
      <c r="O162" s="1284"/>
      <c r="P162" s="1288"/>
      <c r="Q162" s="1284" t="s">
        <v>1353</v>
      </c>
      <c r="R162" s="1582"/>
      <c r="S162" s="1288"/>
    </row>
    <row r="163" spans="1:19" s="1285" customFormat="1" ht="13.9" customHeight="1" x14ac:dyDescent="0.2">
      <c r="A163" s="1562">
        <v>3110</v>
      </c>
      <c r="B163" s="1288" t="s">
        <v>942</v>
      </c>
      <c r="C163" s="1556">
        <v>1704239667613</v>
      </c>
      <c r="D163" s="1556">
        <f>SUM(D145:D162)</f>
        <v>16466906632755</v>
      </c>
      <c r="E163" s="1554">
        <f t="shared" si="9"/>
        <v>-14762666965142</v>
      </c>
      <c r="F163" s="1555">
        <f t="shared" si="11"/>
        <v>-0.89650517212364422</v>
      </c>
      <c r="G163" s="1577" t="s">
        <v>1886</v>
      </c>
      <c r="H163" s="1573">
        <f t="shared" si="8"/>
        <v>8.5751480389088391E-2</v>
      </c>
      <c r="I163" s="1288"/>
      <c r="J163" s="1578">
        <f>+F163</f>
        <v>-0.89650517212364422</v>
      </c>
      <c r="K163" s="1284"/>
      <c r="L163" s="1281"/>
      <c r="M163" s="1281"/>
      <c r="N163" s="1282" t="s">
        <v>1353</v>
      </c>
      <c r="O163" s="1284"/>
      <c r="P163" s="1288"/>
      <c r="Q163" s="1284" t="s">
        <v>1353</v>
      </c>
      <c r="R163" s="1582"/>
      <c r="S163" s="1288"/>
    </row>
    <row r="164" spans="1:19" s="1285" customFormat="1" ht="13.9" hidden="1" customHeight="1" x14ac:dyDescent="0.2">
      <c r="A164" s="1288"/>
      <c r="B164" s="1288"/>
      <c r="C164" s="1565">
        <f>SUM(C161:C163)</f>
        <v>19433240739183</v>
      </c>
      <c r="D164" s="1556">
        <f>SUM(D161:D163)</f>
        <v>32039911231444</v>
      </c>
      <c r="E164" s="1554">
        <f t="shared" si="9"/>
        <v>-12606670492261</v>
      </c>
      <c r="F164" s="1555">
        <f t="shared" si="11"/>
        <v>-0.39346770973225426</v>
      </c>
      <c r="G164" s="1577"/>
      <c r="H164" s="1573">
        <f t="shared" si="8"/>
        <v>0.9778138567074468</v>
      </c>
      <c r="I164" s="1288"/>
      <c r="J164" s="1284"/>
      <c r="K164" s="1284"/>
      <c r="L164" s="1281"/>
      <c r="M164" s="1281"/>
      <c r="N164" s="1282"/>
      <c r="O164" s="1284"/>
      <c r="P164" s="1288"/>
      <c r="Q164" s="1284"/>
      <c r="R164" s="1582"/>
      <c r="S164" s="1288"/>
    </row>
    <row r="165" spans="1:19" s="1285" customFormat="1" ht="13.9" hidden="1" customHeight="1" x14ac:dyDescent="0.2">
      <c r="A165" s="1288"/>
      <c r="B165" s="1288"/>
      <c r="C165" s="1556">
        <f>SUM(C145:C159)</f>
        <v>440931227064</v>
      </c>
      <c r="D165" s="1556"/>
      <c r="E165" s="1554">
        <f t="shared" si="9"/>
        <v>440931227064</v>
      </c>
      <c r="F165" s="1555" t="e">
        <f t="shared" si="11"/>
        <v>#DIV/0!</v>
      </c>
      <c r="G165" s="1577"/>
      <c r="H165" s="1573">
        <f t="shared" si="8"/>
        <v>2.2186143292553213E-2</v>
      </c>
      <c r="I165" s="1288"/>
      <c r="J165" s="1284"/>
      <c r="K165" s="1284"/>
      <c r="L165" s="1281"/>
      <c r="M165" s="1281"/>
      <c r="N165" s="1282"/>
      <c r="O165" s="1284"/>
      <c r="P165" s="1288"/>
      <c r="Q165" s="1284"/>
      <c r="R165" s="1582"/>
      <c r="S165" s="1288"/>
    </row>
    <row r="166" spans="1:19" s="1285" customFormat="1" ht="13.9" hidden="1" customHeight="1" x14ac:dyDescent="0.2">
      <c r="A166" s="1288"/>
      <c r="B166" s="1288"/>
      <c r="C166" s="1556">
        <f>+C165+C164</f>
        <v>19874171966247</v>
      </c>
      <c r="D166" s="1556"/>
      <c r="E166" s="1554">
        <f t="shared" si="9"/>
        <v>19874171966247</v>
      </c>
      <c r="F166" s="1555" t="e">
        <f t="shared" si="11"/>
        <v>#DIV/0!</v>
      </c>
      <c r="G166" s="1577"/>
      <c r="H166" s="1573">
        <f t="shared" si="8"/>
        <v>1</v>
      </c>
      <c r="I166" s="1288"/>
      <c r="J166" s="1284"/>
      <c r="K166" s="1284"/>
      <c r="L166" s="1281"/>
      <c r="M166" s="1281"/>
      <c r="N166" s="1282"/>
      <c r="O166" s="1284"/>
      <c r="P166" s="1288"/>
      <c r="Q166" s="1284"/>
      <c r="R166" s="1582"/>
      <c r="S166" s="1288"/>
    </row>
    <row r="167" spans="1:19" s="1285" customFormat="1" ht="13.9" customHeight="1" x14ac:dyDescent="0.2">
      <c r="A167" s="1288">
        <v>81</v>
      </c>
      <c r="B167" s="1288" t="s">
        <v>1811</v>
      </c>
      <c r="C167" s="1556">
        <v>327202452045</v>
      </c>
      <c r="D167" s="1556">
        <v>333515397132</v>
      </c>
      <c r="E167" s="1554">
        <f t="shared" si="9"/>
        <v>-6312945087</v>
      </c>
      <c r="F167" s="1555">
        <f t="shared" si="11"/>
        <v>-1.892849667897473E-2</v>
      </c>
      <c r="G167" s="1577" t="s">
        <v>1888</v>
      </c>
      <c r="H167" s="1573">
        <f t="shared" si="8"/>
        <v>1.6463702367107386E-2</v>
      </c>
      <c r="I167" s="1288"/>
      <c r="J167" s="1284"/>
      <c r="K167" s="1284"/>
      <c r="L167" s="1281"/>
      <c r="M167" s="1281"/>
      <c r="N167" s="1282"/>
      <c r="O167" s="1284"/>
      <c r="P167" s="1288"/>
      <c r="Q167" s="1284"/>
      <c r="R167" s="1582"/>
      <c r="S167" s="1288"/>
    </row>
    <row r="168" spans="1:19" s="1285" customFormat="1" ht="13.9" customHeight="1" x14ac:dyDescent="0.2">
      <c r="A168" s="1288">
        <v>83</v>
      </c>
      <c r="B168" s="1288" t="s">
        <v>1812</v>
      </c>
      <c r="C168" s="1556">
        <v>61332260803</v>
      </c>
      <c r="D168" s="1556">
        <v>51051607531</v>
      </c>
      <c r="E168" s="1554">
        <f t="shared" si="9"/>
        <v>10280653272</v>
      </c>
      <c r="F168" s="1555">
        <f t="shared" si="11"/>
        <v>0.20137766016001146</v>
      </c>
      <c r="G168" s="1577" t="s">
        <v>1889</v>
      </c>
      <c r="H168" s="1573">
        <f t="shared" si="8"/>
        <v>3.0860284849684666E-3</v>
      </c>
      <c r="I168" s="1288"/>
      <c r="J168" s="1284"/>
      <c r="K168" s="1284"/>
      <c r="L168" s="1281"/>
      <c r="M168" s="1281"/>
      <c r="N168" s="1282"/>
      <c r="O168" s="1284"/>
      <c r="P168" s="1288"/>
      <c r="Q168" s="1284"/>
      <c r="R168" s="1582"/>
      <c r="S168" s="1288"/>
    </row>
    <row r="169" spans="1:19" s="1285" customFormat="1" ht="13.9" customHeight="1" x14ac:dyDescent="0.2">
      <c r="A169" s="1288">
        <v>89</v>
      </c>
      <c r="B169" s="1288" t="s">
        <v>1813</v>
      </c>
      <c r="C169" s="1556">
        <v>388534712848</v>
      </c>
      <c r="D169" s="1556">
        <v>384567004663</v>
      </c>
      <c r="E169" s="1554">
        <f t="shared" si="9"/>
        <v>3967708185</v>
      </c>
      <c r="F169" s="1555">
        <f t="shared" si="11"/>
        <v>1.0317339077170553E-2</v>
      </c>
      <c r="G169" s="1575" t="s">
        <v>1850</v>
      </c>
      <c r="H169" s="1573">
        <f t="shared" si="8"/>
        <v>1.9549730852075852E-2</v>
      </c>
      <c r="I169" s="1288"/>
      <c r="J169" s="1284"/>
      <c r="K169" s="1284"/>
      <c r="L169" s="1281"/>
      <c r="M169" s="1281"/>
      <c r="N169" s="1282"/>
      <c r="O169" s="1284"/>
      <c r="P169" s="1288"/>
      <c r="Q169" s="1284"/>
      <c r="R169" s="1582"/>
      <c r="S169" s="1288"/>
    </row>
    <row r="170" spans="1:19" s="1285" customFormat="1" ht="13.9" customHeight="1" x14ac:dyDescent="0.2">
      <c r="A170" s="1288">
        <v>91</v>
      </c>
      <c r="B170" s="1288" t="s">
        <v>1814</v>
      </c>
      <c r="C170" s="1556">
        <v>2647434585722</v>
      </c>
      <c r="D170" s="1556">
        <v>3819406491940</v>
      </c>
      <c r="E170" s="1554">
        <f t="shared" si="9"/>
        <v>-1171971906218</v>
      </c>
      <c r="F170" s="1555">
        <f t="shared" si="11"/>
        <v>-0.30684660265703156</v>
      </c>
      <c r="G170" s="1577" t="s">
        <v>1890</v>
      </c>
      <c r="H170" s="1573">
        <f t="shared" ref="H170:H172" si="12">+C170/$C$51</f>
        <v>0.13320980568238167</v>
      </c>
      <c r="I170" s="1288"/>
      <c r="J170" s="1284"/>
      <c r="K170" s="1284"/>
      <c r="L170" s="1281"/>
      <c r="M170" s="1281"/>
      <c r="N170" s="1282"/>
      <c r="O170" s="1284"/>
      <c r="P170" s="1288"/>
      <c r="Q170" s="1284"/>
      <c r="R170" s="1582"/>
      <c r="S170" s="1288"/>
    </row>
    <row r="171" spans="1:19" s="1285" customFormat="1" ht="13.9" customHeight="1" x14ac:dyDescent="0.2">
      <c r="A171" s="1288">
        <v>93</v>
      </c>
      <c r="B171" s="1288" t="s">
        <v>1815</v>
      </c>
      <c r="C171" s="1556">
        <v>2843609351</v>
      </c>
      <c r="D171" s="1556">
        <v>2067348570</v>
      </c>
      <c r="E171" s="1554">
        <f t="shared" si="9"/>
        <v>776260781</v>
      </c>
      <c r="F171" s="1555">
        <f t="shared" si="11"/>
        <v>0.37548616245203392</v>
      </c>
      <c r="G171" s="1577" t="s">
        <v>1891</v>
      </c>
      <c r="H171" s="1573">
        <f t="shared" si="12"/>
        <v>1.430806453637113E-4</v>
      </c>
      <c r="I171" s="1288"/>
      <c r="J171" s="1284"/>
      <c r="K171" s="1284"/>
      <c r="L171" s="1281"/>
      <c r="M171" s="1281"/>
      <c r="N171" s="1282"/>
      <c r="O171" s="1284"/>
      <c r="P171" s="1288"/>
      <c r="Q171" s="1284"/>
      <c r="R171" s="1582"/>
      <c r="S171" s="1288"/>
    </row>
    <row r="172" spans="1:19" s="1285" customFormat="1" ht="13.9" customHeight="1" x14ac:dyDescent="0.2">
      <c r="A172" s="1288">
        <v>99</v>
      </c>
      <c r="B172" s="1288" t="s">
        <v>1816</v>
      </c>
      <c r="C172" s="1556">
        <v>2650278195073</v>
      </c>
      <c r="D172" s="1556">
        <v>3821473840510</v>
      </c>
      <c r="E172" s="1554">
        <f t="shared" si="9"/>
        <v>-1171195645437</v>
      </c>
      <c r="F172" s="1555">
        <f t="shared" si="11"/>
        <v>-0.30647747291152372</v>
      </c>
      <c r="G172" s="1577" t="s">
        <v>1890</v>
      </c>
      <c r="H172" s="1573">
        <f t="shared" si="12"/>
        <v>0.13335288632774536</v>
      </c>
      <c r="I172" s="1288"/>
      <c r="J172" s="1284"/>
      <c r="K172" s="1284"/>
      <c r="L172" s="1281"/>
      <c r="M172" s="1281"/>
      <c r="N172" s="1282"/>
      <c r="O172" s="1284"/>
      <c r="P172" s="1288"/>
      <c r="Q172" s="1284"/>
      <c r="R172" s="1582"/>
      <c r="S172" s="1288"/>
    </row>
    <row r="173" spans="1:19" s="51" customFormat="1" x14ac:dyDescent="0.2">
      <c r="D173" s="1563"/>
      <c r="E173" s="1564"/>
      <c r="H173" s="1557"/>
      <c r="J173" s="1268"/>
      <c r="K173" s="1268"/>
      <c r="N173" s="1268"/>
      <c r="O173" s="1268"/>
      <c r="Q173" s="1268"/>
      <c r="R173" s="1268"/>
    </row>
    <row r="174" spans="1:19" s="51" customFormat="1" x14ac:dyDescent="0.2">
      <c r="H174" s="1557"/>
      <c r="J174" s="1268"/>
      <c r="K174" s="1268"/>
      <c r="N174" s="1268"/>
      <c r="O174" s="1268"/>
      <c r="Q174" s="1268"/>
      <c r="R174" s="1268"/>
    </row>
    <row r="175" spans="1:19" s="51" customFormat="1" x14ac:dyDescent="0.2">
      <c r="B175" s="1886" t="s">
        <v>670</v>
      </c>
      <c r="C175" s="1888"/>
      <c r="D175" s="1889"/>
      <c r="E175" s="1889"/>
      <c r="F175" s="1890"/>
      <c r="G175" s="1268"/>
      <c r="H175" s="1557"/>
      <c r="J175" s="1268"/>
      <c r="K175" s="1268"/>
      <c r="N175" s="1268"/>
      <c r="O175" s="1268"/>
      <c r="Q175" s="1268"/>
      <c r="R175" s="1268"/>
    </row>
    <row r="176" spans="1:19" s="51" customFormat="1" x14ac:dyDescent="0.2">
      <c r="B176" s="1887"/>
      <c r="C176" s="1891"/>
      <c r="D176" s="1892"/>
      <c r="E176" s="1892"/>
      <c r="F176" s="1893"/>
      <c r="G176" s="1268"/>
      <c r="H176" s="1557"/>
      <c r="J176" s="1268"/>
      <c r="K176" s="1268"/>
      <c r="N176" s="1268"/>
      <c r="O176" s="1268"/>
      <c r="Q176" s="1268"/>
      <c r="R176" s="1268"/>
    </row>
    <row r="177" spans="2:19" s="51" customFormat="1" ht="15" thickBot="1" x14ac:dyDescent="0.25">
      <c r="H177" s="1557"/>
      <c r="J177" s="1268"/>
      <c r="K177" s="1268"/>
      <c r="N177" s="1268"/>
      <c r="O177" s="1268"/>
      <c r="Q177" s="1268"/>
      <c r="R177" s="1268"/>
    </row>
    <row r="178" spans="2:19" s="51" customFormat="1" ht="15" thickBot="1" x14ac:dyDescent="0.25">
      <c r="B178" s="1894" t="s">
        <v>671</v>
      </c>
      <c r="C178" s="1897" t="s">
        <v>1866</v>
      </c>
      <c r="D178" s="1898"/>
      <c r="E178" s="1898"/>
      <c r="F178" s="1899"/>
      <c r="G178" s="1269"/>
      <c r="H178" s="1560"/>
      <c r="I178" s="1269"/>
      <c r="J178" s="1579"/>
      <c r="K178" s="1579"/>
      <c r="L178" s="1269"/>
      <c r="M178" s="1269"/>
      <c r="N178" s="1579"/>
      <c r="O178" s="1579"/>
      <c r="P178" s="1269"/>
      <c r="Q178" s="1579"/>
      <c r="R178" s="1579"/>
      <c r="S178" s="1269"/>
    </row>
    <row r="179" spans="2:19" s="51" customFormat="1" ht="15" thickBot="1" x14ac:dyDescent="0.25">
      <c r="B179" s="1895"/>
      <c r="C179" s="1897"/>
      <c r="D179" s="1898"/>
      <c r="E179" s="1898"/>
      <c r="F179" s="1899"/>
      <c r="G179" s="310"/>
      <c r="H179" s="1561"/>
      <c r="I179" s="310"/>
      <c r="J179" s="1580"/>
      <c r="K179" s="1580"/>
      <c r="L179" s="310"/>
      <c r="M179" s="310"/>
      <c r="N179" s="1580"/>
      <c r="O179" s="1580"/>
      <c r="P179" s="310"/>
      <c r="Q179" s="1580"/>
      <c r="R179" s="1580"/>
      <c r="S179" s="310"/>
    </row>
    <row r="180" spans="2:19" s="51" customFormat="1" ht="15" thickBot="1" x14ac:dyDescent="0.25">
      <c r="B180" s="1896"/>
      <c r="C180" s="1897"/>
      <c r="D180" s="1898"/>
      <c r="E180" s="1898"/>
      <c r="F180" s="1899"/>
      <c r="G180" s="310"/>
      <c r="H180" s="1561"/>
      <c r="I180" s="310"/>
      <c r="J180" s="1580"/>
      <c r="K180" s="1580"/>
      <c r="L180" s="310"/>
      <c r="M180" s="310"/>
      <c r="N180" s="1580"/>
      <c r="O180" s="1580"/>
      <c r="P180" s="310"/>
      <c r="Q180" s="1580"/>
      <c r="R180" s="1580"/>
      <c r="S180" s="310"/>
    </row>
    <row r="181" spans="2:19" s="51" customFormat="1" ht="15" thickBot="1" x14ac:dyDescent="0.25">
      <c r="B181" s="1270" t="s">
        <v>672</v>
      </c>
      <c r="C181" s="1897" t="s">
        <v>1865</v>
      </c>
      <c r="D181" s="1898"/>
      <c r="E181" s="1898"/>
      <c r="F181" s="1899"/>
      <c r="G181" s="310"/>
      <c r="H181" s="1561"/>
      <c r="I181" s="310"/>
      <c r="J181" s="1580"/>
      <c r="K181" s="1580"/>
      <c r="L181" s="310"/>
      <c r="M181" s="310"/>
      <c r="N181" s="1580"/>
      <c r="O181" s="1580"/>
      <c r="P181" s="310"/>
      <c r="Q181" s="1580"/>
      <c r="R181" s="1580"/>
      <c r="S181" s="310"/>
    </row>
    <row r="182" spans="2:19" s="51" customFormat="1" x14ac:dyDescent="0.2">
      <c r="H182" s="1557"/>
      <c r="J182" s="1268"/>
      <c r="K182" s="1268"/>
      <c r="N182" s="1268"/>
      <c r="O182" s="1268"/>
      <c r="Q182" s="1268"/>
      <c r="R182" s="1268"/>
    </row>
    <row r="183" spans="2:19" s="51" customFormat="1" ht="15" x14ac:dyDescent="0.25">
      <c r="B183" s="51" t="s">
        <v>673</v>
      </c>
      <c r="H183" s="1557"/>
      <c r="J183" s="1268"/>
      <c r="K183" s="1268"/>
      <c r="N183" s="1268"/>
      <c r="O183" s="1268"/>
      <c r="Q183" s="1268"/>
      <c r="R183" s="1268"/>
    </row>
    <row r="184" spans="2:19" s="51" customFormat="1" ht="15" x14ac:dyDescent="0.25">
      <c r="B184" s="51" t="s">
        <v>674</v>
      </c>
      <c r="H184" s="1557"/>
      <c r="J184" s="1268"/>
      <c r="K184" s="1268"/>
      <c r="N184" s="1268"/>
      <c r="O184" s="1268"/>
      <c r="Q184" s="1268"/>
      <c r="R184" s="1268"/>
    </row>
    <row r="185" spans="2:19" s="51" customFormat="1" ht="15" x14ac:dyDescent="0.25">
      <c r="B185" s="51" t="s">
        <v>1867</v>
      </c>
      <c r="H185" s="1557"/>
      <c r="J185" s="1268"/>
      <c r="K185" s="1268"/>
      <c r="N185" s="1268"/>
      <c r="O185" s="1268"/>
      <c r="Q185" s="1268"/>
      <c r="R185" s="1268"/>
    </row>
  </sheetData>
  <sheetProtection algorithmName="SHA-512" hashValue="xLQiDh25CUPd/oDeQ0qgNGcGqyB02Y9i6Q2h8SRi7JGaG06sAv+Br98CWn/Le/Fjev8DqDGm3NiqEvX+oqr+rw==" saltValue="t8vzpT/nvGc13xgGGB8UOg==" spinCount="100000" sheet="1" formatRows="0" insertRows="0" pivotTables="0"/>
  <mergeCells count="42">
    <mergeCell ref="B178:B180"/>
    <mergeCell ref="C178:F180"/>
    <mergeCell ref="C181:F181"/>
    <mergeCell ref="S131:S132"/>
    <mergeCell ref="G140:G141"/>
    <mergeCell ref="G152:G153"/>
    <mergeCell ref="S155:S159"/>
    <mergeCell ref="B175:B176"/>
    <mergeCell ref="C175:F176"/>
    <mergeCell ref="G108:G109"/>
    <mergeCell ref="G110:G114"/>
    <mergeCell ref="G115:G117"/>
    <mergeCell ref="G118:G130"/>
    <mergeCell ref="G131:G133"/>
    <mergeCell ref="C98:H98"/>
    <mergeCell ref="C99:D99"/>
    <mergeCell ref="C100:D100"/>
    <mergeCell ref="J103:Q103"/>
    <mergeCell ref="S105:S106"/>
    <mergeCell ref="S62:S66"/>
    <mergeCell ref="A96:H96"/>
    <mergeCell ref="G22:G24"/>
    <mergeCell ref="G25:G37"/>
    <mergeCell ref="S12:S13"/>
    <mergeCell ref="S38:S39"/>
    <mergeCell ref="G38:G40"/>
    <mergeCell ref="G47:G48"/>
    <mergeCell ref="G59:G60"/>
    <mergeCell ref="C88:F88"/>
    <mergeCell ref="B1:B2"/>
    <mergeCell ref="C4:D4"/>
    <mergeCell ref="C5:H5"/>
    <mergeCell ref="C6:D6"/>
    <mergeCell ref="C7:D7"/>
    <mergeCell ref="C1:R2"/>
    <mergeCell ref="J10:Q10"/>
    <mergeCell ref="B82:B83"/>
    <mergeCell ref="C82:F83"/>
    <mergeCell ref="B85:B87"/>
    <mergeCell ref="C85:F87"/>
    <mergeCell ref="G15:G16"/>
    <mergeCell ref="G17:G21"/>
  </mergeCells>
  <conditionalFormatting sqref="G85:S88">
    <cfRule type="cellIs" dxfId="306" priority="20" operator="equal">
      <formula>"INEXISTENTE"</formula>
    </cfRule>
  </conditionalFormatting>
  <conditionalFormatting sqref="K85:S88">
    <cfRule type="cellIs" dxfId="305" priority="21" operator="equal">
      <formula>"INEFICAZ"</formula>
    </cfRule>
    <cfRule type="cellIs" dxfId="304" priority="22" operator="equal">
      <formula>"CON DEFICIENCIAS"</formula>
    </cfRule>
    <cfRule type="cellIs" dxfId="303" priority="23" operator="equal">
      <formula>"EFICAZ"</formula>
    </cfRule>
    <cfRule type="cellIs" dxfId="302" priority="24" operator="equal">
      <formula>"CRÍTICO"</formula>
    </cfRule>
    <cfRule type="cellIs" dxfId="301" priority="25" operator="equal">
      <formula>"ALTO"</formula>
    </cfRule>
    <cfRule type="cellIs" dxfId="300" priority="26" operator="equal">
      <formula>"MEDIO"</formula>
    </cfRule>
    <cfRule type="cellIs" dxfId="299" priority="27" operator="equal">
      <formula>"BAJO"</formula>
    </cfRule>
  </conditionalFormatting>
  <conditionalFormatting sqref="G85:S88">
    <cfRule type="cellIs" dxfId="298" priority="29" operator="equal">
      <formula>"INADECUADO"</formula>
    </cfRule>
    <cfRule type="cellIs" dxfId="297" priority="30" operator="equal">
      <formula>"PARCIALMENTE ADECUADO"</formula>
    </cfRule>
    <cfRule type="cellIs" dxfId="296" priority="31" operator="equal">
      <formula>"ADECUADO"</formula>
    </cfRule>
    <cfRule type="cellIs" dxfId="295" priority="32" operator="equal">
      <formula>"ERROR"</formula>
    </cfRule>
  </conditionalFormatting>
  <conditionalFormatting sqref="C1">
    <cfRule type="cellIs" dxfId="294" priority="13" operator="equal">
      <formula>"ERROR"</formula>
    </cfRule>
  </conditionalFormatting>
  <conditionalFormatting sqref="S2">
    <cfRule type="cellIs" dxfId="293" priority="15" operator="equal">
      <formula>"INADECUADO"</formula>
    </cfRule>
    <cfRule type="cellIs" dxfId="292" priority="16" operator="equal">
      <formula>"PARCIALMENTE ADECUADO"</formula>
    </cfRule>
    <cfRule type="cellIs" dxfId="291" priority="17" operator="equal">
      <formula>"ADECUADO"</formula>
    </cfRule>
    <cfRule type="cellIs" dxfId="290" priority="18" operator="equal">
      <formula>"ERROR"</formula>
    </cfRule>
  </conditionalFormatting>
  <conditionalFormatting sqref="S2">
    <cfRule type="cellIs" dxfId="289" priority="14" operator="equal">
      <formula>"INEXISTENTE"</formula>
    </cfRule>
  </conditionalFormatting>
  <conditionalFormatting sqref="G178:S181">
    <cfRule type="cellIs" dxfId="288" priority="1" operator="equal">
      <formula>"INEXISTENTE"</formula>
    </cfRule>
  </conditionalFormatting>
  <conditionalFormatting sqref="K178:S181">
    <cfRule type="cellIs" dxfId="287" priority="2" operator="equal">
      <formula>"INEFICAZ"</formula>
    </cfRule>
    <cfRule type="cellIs" dxfId="286" priority="3" operator="equal">
      <formula>"CON DEFICIENCIAS"</formula>
    </cfRule>
    <cfRule type="cellIs" dxfId="285" priority="4" operator="equal">
      <formula>"EFICAZ"</formula>
    </cfRule>
    <cfRule type="cellIs" dxfId="284" priority="5" operator="equal">
      <formula>"CRÍTICO"</formula>
    </cfRule>
    <cfRule type="cellIs" dxfId="283" priority="6" operator="equal">
      <formula>"ALTO"</formula>
    </cfRule>
    <cfRule type="cellIs" dxfId="282" priority="7" operator="equal">
      <formula>"MEDIO"</formula>
    </cfRule>
    <cfRule type="cellIs" dxfId="281" priority="8" operator="equal">
      <formula>"BAJO"</formula>
    </cfRule>
  </conditionalFormatting>
  <conditionalFormatting sqref="G178:S181">
    <cfRule type="cellIs" dxfId="280" priority="9" operator="equal">
      <formula>"INADECUADO"</formula>
    </cfRule>
    <cfRule type="cellIs" dxfId="279" priority="10" operator="equal">
      <formula>"PARCIALMENTE ADECUADO"</formula>
    </cfRule>
    <cfRule type="cellIs" dxfId="278" priority="11" operator="equal">
      <formula>"ADECUADO"</formula>
    </cfRule>
    <cfRule type="cellIs" dxfId="277" priority="12" operator="equal">
      <formula>"ERROR"</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6"/>
  <sheetViews>
    <sheetView workbookViewId="0">
      <selection activeCell="A2" sqref="A2"/>
    </sheetView>
  </sheetViews>
  <sheetFormatPr baseColWidth="10" defaultColWidth="11.42578125" defaultRowHeight="14.25" x14ac:dyDescent="0.2"/>
  <cols>
    <col min="1" max="1" width="11.42578125" style="11"/>
    <col min="2" max="2" width="33.140625" style="11" customWidth="1"/>
    <col min="3" max="3" width="26" style="311" customWidth="1"/>
    <col min="4" max="4" width="23.140625" style="311" customWidth="1"/>
    <col min="5" max="5" width="21.7109375" style="11" customWidth="1"/>
    <col min="6" max="6" width="12.42578125" style="11" customWidth="1"/>
    <col min="7" max="7" width="17.28515625" style="11" customWidth="1"/>
    <col min="8" max="8" width="21.42578125" style="11" customWidth="1"/>
    <col min="9" max="9" width="24.7109375" style="11" bestFit="1" customWidth="1"/>
    <col min="10" max="10" width="24.7109375" style="11" customWidth="1"/>
    <col min="11" max="11" width="21.28515625" style="11" customWidth="1"/>
    <col min="12" max="14" width="27.42578125" style="11" customWidth="1"/>
    <col min="15" max="15" width="35.7109375" style="11" customWidth="1"/>
    <col min="16" max="18" width="16.28515625" style="11" customWidth="1"/>
    <col min="19" max="19" width="17" style="11" customWidth="1"/>
    <col min="20" max="20" width="16.140625" style="11" customWidth="1"/>
    <col min="21" max="16384" width="11.42578125" style="11"/>
  </cols>
  <sheetData>
    <row r="1" spans="1:19" ht="51.75" customHeight="1" x14ac:dyDescent="0.2">
      <c r="B1" s="1903"/>
      <c r="C1" s="1926" t="s">
        <v>1696</v>
      </c>
      <c r="D1" s="1927"/>
      <c r="E1" s="1927"/>
      <c r="F1" s="1927"/>
      <c r="G1" s="1927"/>
      <c r="H1" s="1927"/>
      <c r="I1" s="1927"/>
      <c r="J1" s="1927"/>
      <c r="K1" s="1927"/>
      <c r="L1" s="1927"/>
      <c r="M1" s="1927"/>
      <c r="N1" s="1927"/>
      <c r="O1" s="1927"/>
      <c r="P1" s="1927"/>
      <c r="Q1" s="1927"/>
      <c r="R1" s="1928"/>
      <c r="S1" s="1095" t="s">
        <v>1695</v>
      </c>
    </row>
    <row r="2" spans="1:19" ht="40.5" customHeight="1" x14ac:dyDescent="0.2">
      <c r="B2" s="1904"/>
      <c r="C2" s="1929"/>
      <c r="D2" s="1930"/>
      <c r="E2" s="1930"/>
      <c r="F2" s="1930"/>
      <c r="G2" s="1930"/>
      <c r="H2" s="1930"/>
      <c r="I2" s="1930"/>
      <c r="J2" s="1930"/>
      <c r="K2" s="1930"/>
      <c r="L2" s="1930"/>
      <c r="M2" s="1930"/>
      <c r="N2" s="1930"/>
      <c r="O2" s="1930"/>
      <c r="P2" s="1930"/>
      <c r="Q2" s="1930"/>
      <c r="R2" s="1931"/>
      <c r="S2" s="1093" t="s">
        <v>1936</v>
      </c>
    </row>
    <row r="4" spans="1:19" ht="18" x14ac:dyDescent="0.25">
      <c r="B4" s="303"/>
      <c r="C4" s="1924"/>
      <c r="D4" s="1924"/>
      <c r="E4" s="304"/>
      <c r="F4" s="9"/>
      <c r="G4" s="9"/>
      <c r="H4" s="51"/>
    </row>
    <row r="5" spans="1:19" ht="18" x14ac:dyDescent="0.2">
      <c r="C5" s="1906" t="s">
        <v>676</v>
      </c>
      <c r="D5" s="1906"/>
      <c r="E5" s="1906"/>
      <c r="F5" s="1906"/>
      <c r="G5" s="1906"/>
      <c r="H5" s="1906"/>
    </row>
    <row r="6" spans="1:19" x14ac:dyDescent="0.2">
      <c r="B6" s="11" t="s">
        <v>0</v>
      </c>
      <c r="C6" s="1925" t="str">
        <f>+FENECIMIENTO!D4</f>
        <v xml:space="preserve">150000 - DIRECCIÓN SECTOR HACIENDA </v>
      </c>
      <c r="D6" s="1925"/>
    </row>
    <row r="7" spans="1:19" ht="30" customHeight="1" x14ac:dyDescent="0.2">
      <c r="B7" s="11" t="s">
        <v>1</v>
      </c>
      <c r="C7" s="1907" t="str">
        <f>+FENECIMIENTO!D5</f>
        <v xml:space="preserve">206 - Fondo de Prestaciones Económicas, Cesantías y Pensiones – FONCEP </v>
      </c>
      <c r="D7" s="1907"/>
      <c r="F7" s="305" t="s">
        <v>2</v>
      </c>
      <c r="G7" s="306"/>
      <c r="H7" s="1260">
        <f>+FENECIMIENTO!K5</f>
        <v>2024</v>
      </c>
      <c r="P7" s="307"/>
      <c r="Q7" s="307"/>
      <c r="R7" s="307"/>
      <c r="S7" s="307"/>
    </row>
    <row r="8" spans="1:19" x14ac:dyDescent="0.2">
      <c r="B8" s="11" t="s">
        <v>1683</v>
      </c>
      <c r="C8" s="1264">
        <f>+FENECIMIENTO!D6</f>
        <v>2025</v>
      </c>
      <c r="D8" s="1265"/>
      <c r="F8" s="305" t="s">
        <v>3</v>
      </c>
      <c r="G8" s="306"/>
      <c r="H8" s="1260">
        <f>+FENECIMIENTO!K6</f>
        <v>87</v>
      </c>
    </row>
    <row r="9" spans="1:19" x14ac:dyDescent="0.2">
      <c r="B9" s="11" t="s">
        <v>4</v>
      </c>
      <c r="C9" s="1262">
        <f>+FENECIMIENTO!D7</f>
        <v>45693</v>
      </c>
      <c r="D9" s="1266"/>
      <c r="F9" s="305" t="s">
        <v>5</v>
      </c>
      <c r="G9" s="306"/>
      <c r="H9" s="1263">
        <f>+FENECIMIENTO!K7</f>
        <v>45693</v>
      </c>
      <c r="J9" s="1583" t="s">
        <v>1898</v>
      </c>
      <c r="K9" s="1584" t="s">
        <v>1899</v>
      </c>
    </row>
    <row r="10" spans="1:19" ht="15.75" x14ac:dyDescent="0.25">
      <c r="B10" s="49"/>
      <c r="E10" s="49"/>
      <c r="F10" s="49"/>
      <c r="G10" s="49"/>
      <c r="I10" s="11" t="s">
        <v>651</v>
      </c>
      <c r="J10" s="1922" t="s">
        <v>652</v>
      </c>
      <c r="K10" s="1923"/>
      <c r="L10" s="1923"/>
      <c r="M10" s="1923"/>
      <c r="N10" s="1923"/>
      <c r="O10" s="1923"/>
      <c r="P10" s="1923"/>
      <c r="Q10" s="1923"/>
      <c r="R10" s="1923"/>
    </row>
    <row r="11" spans="1:19" s="51" customFormat="1" ht="120" x14ac:dyDescent="0.2">
      <c r="A11" s="1267" t="s">
        <v>653</v>
      </c>
      <c r="B11" s="1267" t="s">
        <v>654</v>
      </c>
      <c r="C11" s="1271" t="s">
        <v>1769</v>
      </c>
      <c r="D11" s="1271" t="s">
        <v>1845</v>
      </c>
      <c r="E11" s="1267" t="s">
        <v>655</v>
      </c>
      <c r="F11" s="1267" t="s">
        <v>656</v>
      </c>
      <c r="G11" s="1267" t="s">
        <v>677</v>
      </c>
      <c r="H11" s="1267" t="s">
        <v>1847</v>
      </c>
      <c r="I11" s="1267" t="s">
        <v>659</v>
      </c>
      <c r="J11" s="1267" t="s">
        <v>660</v>
      </c>
      <c r="K11" s="1267" t="s">
        <v>661</v>
      </c>
      <c r="L11" s="1267" t="s">
        <v>662</v>
      </c>
      <c r="M11" s="1267" t="s">
        <v>663</v>
      </c>
      <c r="N11" s="1267" t="s">
        <v>666</v>
      </c>
      <c r="O11" s="1267" t="s">
        <v>665</v>
      </c>
      <c r="P11" s="1267" t="s">
        <v>678</v>
      </c>
      <c r="Q11" s="1267" t="s">
        <v>664</v>
      </c>
      <c r="R11" s="1267" t="s">
        <v>667</v>
      </c>
      <c r="S11" s="1267" t="s">
        <v>668</v>
      </c>
    </row>
    <row r="12" spans="1:19" s="1285" customFormat="1" ht="12" customHeight="1" x14ac:dyDescent="0.2">
      <c r="A12" s="1689">
        <v>4110</v>
      </c>
      <c r="B12" s="1690" t="s">
        <v>1817</v>
      </c>
      <c r="C12" s="1273">
        <v>30842304067</v>
      </c>
      <c r="D12" s="1273">
        <v>20848258447</v>
      </c>
      <c r="E12" s="1274">
        <f>+C12-D12</f>
        <v>9994045620</v>
      </c>
      <c r="F12" s="1686">
        <f>+(C12-D12)/D12</f>
        <v>0.47937076592784239</v>
      </c>
      <c r="G12" s="1276" t="s">
        <v>1853</v>
      </c>
      <c r="H12" s="1559">
        <f>+C12/$C$44</f>
        <v>1.4259776898269181E-2</v>
      </c>
      <c r="I12" s="1276"/>
      <c r="J12" s="1279"/>
      <c r="K12" s="1275"/>
      <c r="L12" s="1280"/>
      <c r="M12" s="1288"/>
      <c r="N12" s="1284"/>
      <c r="O12" s="1289"/>
      <c r="P12" s="1284" t="s">
        <v>1353</v>
      </c>
      <c r="Q12" s="1284" t="s">
        <v>1353</v>
      </c>
      <c r="R12" s="1284" t="s">
        <v>1353</v>
      </c>
      <c r="S12" s="1585" t="s">
        <v>1900</v>
      </c>
    </row>
    <row r="13" spans="1:19" s="1285" customFormat="1" ht="12" customHeight="1" x14ac:dyDescent="0.2">
      <c r="A13" s="1689">
        <v>4195</v>
      </c>
      <c r="B13" s="1690" t="s">
        <v>1818</v>
      </c>
      <c r="C13" s="1273">
        <v>-101802764</v>
      </c>
      <c r="D13" s="1273">
        <v>-20234409</v>
      </c>
      <c r="E13" s="1274">
        <f t="shared" ref="E13:E41" si="0">+C13-D13</f>
        <v>-81568355</v>
      </c>
      <c r="F13" s="1686">
        <f t="shared" ref="F13:F41" si="1">+(C13-D13)/D13</f>
        <v>4.0311706163496055</v>
      </c>
      <c r="G13" s="1276"/>
      <c r="H13" s="1559">
        <f t="shared" ref="H13:H44" si="2">+C13/$C$44</f>
        <v>-4.7067971936000482E-5</v>
      </c>
      <c r="I13" s="1276"/>
      <c r="J13" s="1279"/>
      <c r="K13" s="1275"/>
      <c r="L13" s="1280"/>
      <c r="M13" s="1288"/>
      <c r="N13" s="1284"/>
      <c r="O13" s="1289"/>
      <c r="P13" s="1284" t="s">
        <v>1353</v>
      </c>
      <c r="Q13" s="1284" t="s">
        <v>1353</v>
      </c>
      <c r="R13" s="1284" t="s">
        <v>1353</v>
      </c>
      <c r="S13" s="1585" t="s">
        <v>1900</v>
      </c>
    </row>
    <row r="14" spans="1:19" s="1285" customFormat="1" ht="12" customHeight="1" x14ac:dyDescent="0.2">
      <c r="A14" s="1689">
        <v>4428</v>
      </c>
      <c r="B14" s="1690" t="s">
        <v>1819</v>
      </c>
      <c r="C14" s="1273">
        <v>1067816556565</v>
      </c>
      <c r="D14" s="1273">
        <v>1037510732467</v>
      </c>
      <c r="E14" s="1274">
        <f t="shared" si="0"/>
        <v>30305824098</v>
      </c>
      <c r="F14" s="1686">
        <f t="shared" si="1"/>
        <v>2.9210130699986694E-2</v>
      </c>
      <c r="G14" s="1276"/>
      <c r="H14" s="1559">
        <f>+C14/$C$44</f>
        <v>0.49369936279134907</v>
      </c>
      <c r="I14" s="1276" t="s">
        <v>1901</v>
      </c>
      <c r="J14" s="1279"/>
      <c r="K14" s="1275">
        <f>+H14</f>
        <v>0.49369936279134907</v>
      </c>
      <c r="L14" s="1280"/>
      <c r="M14" s="1288"/>
      <c r="N14" s="1284"/>
      <c r="O14" s="1289"/>
      <c r="P14" s="1284" t="s">
        <v>1353</v>
      </c>
      <c r="Q14" s="1284" t="s">
        <v>1353</v>
      </c>
      <c r="R14" s="1284" t="s">
        <v>1353</v>
      </c>
      <c r="S14" s="1585" t="s">
        <v>1900</v>
      </c>
    </row>
    <row r="15" spans="1:19" s="1285" customFormat="1" ht="12" customHeight="1" x14ac:dyDescent="0.2">
      <c r="A15" s="1689">
        <v>4705</v>
      </c>
      <c r="B15" s="1690" t="s">
        <v>1820</v>
      </c>
      <c r="C15" s="1273">
        <v>920847198460</v>
      </c>
      <c r="D15" s="1273">
        <v>941951396202</v>
      </c>
      <c r="E15" s="1274">
        <f t="shared" si="0"/>
        <v>-21104197742</v>
      </c>
      <c r="F15" s="1686">
        <f t="shared" si="1"/>
        <v>-2.2404762949652487E-2</v>
      </c>
      <c r="G15" s="1276"/>
      <c r="H15" s="1559">
        <f t="shared" si="2"/>
        <v>0.4257488538765013</v>
      </c>
      <c r="I15" s="1276"/>
      <c r="J15" s="1279"/>
      <c r="K15" s="1275">
        <f>+H15</f>
        <v>0.4257488538765013</v>
      </c>
      <c r="L15" s="1280"/>
      <c r="M15" s="1288"/>
      <c r="N15" s="1284"/>
      <c r="O15" s="1289"/>
      <c r="P15" s="1284" t="s">
        <v>1353</v>
      </c>
      <c r="Q15" s="1284" t="s">
        <v>1353</v>
      </c>
      <c r="R15" s="1284" t="s">
        <v>1353</v>
      </c>
      <c r="S15" s="1585" t="s">
        <v>1900</v>
      </c>
    </row>
    <row r="16" spans="1:19" s="1285" customFormat="1" ht="12" customHeight="1" x14ac:dyDescent="0.2">
      <c r="A16" s="1689">
        <v>5101</v>
      </c>
      <c r="B16" s="1690" t="s">
        <v>1821</v>
      </c>
      <c r="C16" s="1273">
        <v>45830419026</v>
      </c>
      <c r="D16" s="1273">
        <v>39732266958</v>
      </c>
      <c r="E16" s="1274">
        <f t="shared" si="0"/>
        <v>6098152068</v>
      </c>
      <c r="F16" s="1686">
        <f t="shared" si="1"/>
        <v>0.15348110074983151</v>
      </c>
      <c r="G16" s="1276" t="s">
        <v>1854</v>
      </c>
      <c r="H16" s="1559">
        <f t="shared" si="2"/>
        <v>2.1189452935982275E-2</v>
      </c>
      <c r="I16" s="1276"/>
      <c r="J16" s="1279"/>
      <c r="K16" s="1275"/>
      <c r="L16" s="1280"/>
      <c r="M16" s="1288"/>
      <c r="N16" s="1284"/>
      <c r="O16" s="1289"/>
      <c r="P16" s="1284"/>
      <c r="Q16" s="1284"/>
      <c r="R16" s="1284"/>
      <c r="S16" s="1688"/>
    </row>
    <row r="17" spans="1:19" s="1285" customFormat="1" ht="12" customHeight="1" x14ac:dyDescent="0.2">
      <c r="A17" s="1689">
        <v>5103</v>
      </c>
      <c r="B17" s="1690" t="s">
        <v>1822</v>
      </c>
      <c r="C17" s="1273">
        <v>13729644875</v>
      </c>
      <c r="D17" s="1273">
        <v>12551466354</v>
      </c>
      <c r="E17" s="1274">
        <f t="shared" si="0"/>
        <v>1178178521</v>
      </c>
      <c r="F17" s="1686">
        <f t="shared" si="1"/>
        <v>9.3867799010155406E-2</v>
      </c>
      <c r="G17" s="1276"/>
      <c r="H17" s="1559">
        <f t="shared" si="2"/>
        <v>6.3478290203176886E-3</v>
      </c>
      <c r="I17" s="1276"/>
      <c r="J17" s="1279"/>
      <c r="K17" s="1275"/>
      <c r="L17" s="1280"/>
      <c r="M17" s="1288"/>
      <c r="N17" s="1284"/>
      <c r="O17" s="1289"/>
      <c r="P17" s="1284"/>
      <c r="Q17" s="1284"/>
      <c r="R17" s="1284"/>
      <c r="S17" s="1688"/>
    </row>
    <row r="18" spans="1:19" s="1285" customFormat="1" ht="12" customHeight="1" x14ac:dyDescent="0.2">
      <c r="A18" s="1689">
        <v>5104</v>
      </c>
      <c r="B18" s="1690" t="s">
        <v>1823</v>
      </c>
      <c r="C18" s="1273">
        <v>2788552400</v>
      </c>
      <c r="D18" s="1273">
        <v>2498407500</v>
      </c>
      <c r="E18" s="1274">
        <f t="shared" si="0"/>
        <v>290144900</v>
      </c>
      <c r="F18" s="1686">
        <f t="shared" si="1"/>
        <v>0.11613193604325955</v>
      </c>
      <c r="G18" s="1276"/>
      <c r="H18" s="1559">
        <f t="shared" si="2"/>
        <v>1.2892725201966695E-3</v>
      </c>
      <c r="I18" s="1276"/>
      <c r="J18" s="1279"/>
      <c r="K18" s="1275"/>
      <c r="L18" s="1280"/>
      <c r="M18" s="1288"/>
      <c r="N18" s="1284"/>
      <c r="O18" s="1289"/>
      <c r="P18" s="1284"/>
      <c r="Q18" s="1284"/>
      <c r="R18" s="1284"/>
      <c r="S18" s="1688"/>
    </row>
    <row r="19" spans="1:19" s="1285" customFormat="1" ht="12" customHeight="1" x14ac:dyDescent="0.2">
      <c r="A19" s="1689">
        <v>5107</v>
      </c>
      <c r="B19" s="1690" t="s">
        <v>1824</v>
      </c>
      <c r="C19" s="1273">
        <v>23572375270</v>
      </c>
      <c r="D19" s="1273">
        <v>21818994454</v>
      </c>
      <c r="E19" s="1274">
        <f t="shared" si="0"/>
        <v>1753380816</v>
      </c>
      <c r="F19" s="1686">
        <f t="shared" si="1"/>
        <v>8.0360294315880307E-2</v>
      </c>
      <c r="G19" s="1276"/>
      <c r="H19" s="1559">
        <f t="shared" si="2"/>
        <v>1.0898563595711721E-2</v>
      </c>
      <c r="I19" s="1276"/>
      <c r="J19" s="1279"/>
      <c r="K19" s="1275"/>
      <c r="L19" s="1280"/>
      <c r="M19" s="1288"/>
      <c r="N19" s="1284"/>
      <c r="O19" s="1289"/>
      <c r="P19" s="1284"/>
      <c r="Q19" s="1284"/>
      <c r="R19" s="1284"/>
      <c r="S19" s="1688"/>
    </row>
    <row r="20" spans="1:19" s="1285" customFormat="1" ht="12" customHeight="1" x14ac:dyDescent="0.2">
      <c r="A20" s="1689">
        <v>5108</v>
      </c>
      <c r="B20" s="1690" t="s">
        <v>1825</v>
      </c>
      <c r="C20" s="1273">
        <v>1274104639</v>
      </c>
      <c r="D20" s="1273">
        <v>1457462901</v>
      </c>
      <c r="E20" s="1274">
        <f t="shared" si="0"/>
        <v>-183358262</v>
      </c>
      <c r="F20" s="1686">
        <f t="shared" si="1"/>
        <v>-0.12580646949860166</v>
      </c>
      <c r="G20" s="1276"/>
      <c r="H20" s="1559">
        <f t="shared" si="2"/>
        <v>5.8907557158251645E-4</v>
      </c>
      <c r="I20" s="1276"/>
      <c r="J20" s="1279"/>
      <c r="K20" s="1275"/>
      <c r="L20" s="1280"/>
      <c r="M20" s="1288"/>
      <c r="N20" s="1284"/>
      <c r="O20" s="1289"/>
      <c r="P20" s="1284"/>
      <c r="Q20" s="1284"/>
      <c r="R20" s="1284"/>
      <c r="S20" s="1688"/>
    </row>
    <row r="21" spans="1:19" s="1285" customFormat="1" ht="12" customHeight="1" x14ac:dyDescent="0.2">
      <c r="A21" s="1689">
        <v>5111</v>
      </c>
      <c r="B21" s="1690" t="s">
        <v>1826</v>
      </c>
      <c r="C21" s="1273">
        <v>156733994742</v>
      </c>
      <c r="D21" s="1273">
        <v>168550212943</v>
      </c>
      <c r="E21" s="1274">
        <f t="shared" si="0"/>
        <v>-11816218201</v>
      </c>
      <c r="F21" s="1686">
        <f t="shared" si="1"/>
        <v>-7.0105032765493971E-2</v>
      </c>
      <c r="G21" s="1276"/>
      <c r="H21" s="1559">
        <f t="shared" si="2"/>
        <v>7.2465137252400169E-2</v>
      </c>
      <c r="I21" s="1276"/>
      <c r="J21" s="1279"/>
      <c r="K21" s="1275"/>
      <c r="L21" s="1280"/>
      <c r="M21" s="1288"/>
      <c r="N21" s="1284"/>
      <c r="O21" s="1289"/>
      <c r="P21" s="1284" t="s">
        <v>1353</v>
      </c>
      <c r="Q21" s="1284" t="s">
        <v>1353</v>
      </c>
      <c r="R21" s="1284" t="s">
        <v>1353</v>
      </c>
      <c r="S21" s="1585" t="s">
        <v>1900</v>
      </c>
    </row>
    <row r="22" spans="1:19" s="1285" customFormat="1" ht="12" customHeight="1" x14ac:dyDescent="0.2">
      <c r="A22" s="1689">
        <v>5120</v>
      </c>
      <c r="B22" s="1690" t="s">
        <v>1827</v>
      </c>
      <c r="C22" s="1273">
        <v>312443868</v>
      </c>
      <c r="D22" s="1273">
        <v>397159861</v>
      </c>
      <c r="E22" s="1274">
        <f t="shared" si="0"/>
        <v>-84715993</v>
      </c>
      <c r="F22" s="1686">
        <f t="shared" si="1"/>
        <v>-0.21330451870613379</v>
      </c>
      <c r="G22" s="1276"/>
      <c r="H22" s="1559">
        <f t="shared" si="2"/>
        <v>1.444567773287515E-4</v>
      </c>
      <c r="I22" s="1276"/>
      <c r="J22" s="1279"/>
      <c r="K22" s="1275"/>
      <c r="L22" s="1280"/>
      <c r="M22" s="1288"/>
      <c r="N22" s="1284"/>
      <c r="O22" s="1289"/>
      <c r="P22" s="1284" t="s">
        <v>1353</v>
      </c>
      <c r="Q22" s="1284" t="s">
        <v>1353</v>
      </c>
      <c r="R22" s="1284" t="s">
        <v>1353</v>
      </c>
      <c r="S22" s="1585" t="s">
        <v>1900</v>
      </c>
    </row>
    <row r="23" spans="1:19" s="1285" customFormat="1" ht="12" customHeight="1" x14ac:dyDescent="0.2">
      <c r="A23" s="1691">
        <v>5347</v>
      </c>
      <c r="B23" s="1690" t="s">
        <v>1828</v>
      </c>
      <c r="C23" s="1273">
        <v>0</v>
      </c>
      <c r="D23" s="1273">
        <v>0</v>
      </c>
      <c r="E23" s="1274">
        <f t="shared" si="0"/>
        <v>0</v>
      </c>
      <c r="F23" s="1686" t="s">
        <v>1846</v>
      </c>
      <c r="G23" s="1276"/>
      <c r="H23" s="1559">
        <f t="shared" si="2"/>
        <v>0</v>
      </c>
      <c r="I23" s="1276"/>
      <c r="J23" s="1279"/>
      <c r="K23" s="1275"/>
      <c r="L23" s="1280"/>
      <c r="M23" s="1288"/>
      <c r="N23" s="1284"/>
      <c r="O23" s="1289"/>
      <c r="P23" s="1284" t="s">
        <v>1353</v>
      </c>
      <c r="Q23" s="1284" t="s">
        <v>1353</v>
      </c>
      <c r="R23" s="1284" t="s">
        <v>1353</v>
      </c>
      <c r="S23" s="1585" t="s">
        <v>1900</v>
      </c>
    </row>
    <row r="24" spans="1:19" s="1285" customFormat="1" ht="12" customHeight="1" x14ac:dyDescent="0.2">
      <c r="A24" s="1691">
        <v>5350</v>
      </c>
      <c r="B24" s="1690" t="s">
        <v>1829</v>
      </c>
      <c r="C24" s="1273">
        <v>0</v>
      </c>
      <c r="D24" s="1273">
        <v>0</v>
      </c>
      <c r="E24" s="1274">
        <f t="shared" si="0"/>
        <v>0</v>
      </c>
      <c r="F24" s="1686" t="s">
        <v>1846</v>
      </c>
      <c r="G24" s="1276"/>
      <c r="H24" s="1559">
        <f t="shared" si="2"/>
        <v>0</v>
      </c>
      <c r="I24" s="1276"/>
      <c r="J24" s="1279"/>
      <c r="K24" s="1275"/>
      <c r="L24" s="1280"/>
      <c r="M24" s="1288"/>
      <c r="N24" s="1284"/>
      <c r="O24" s="1289"/>
      <c r="P24" s="1284" t="s">
        <v>1353</v>
      </c>
      <c r="Q24" s="1284" t="s">
        <v>1353</v>
      </c>
      <c r="R24" s="1284" t="s">
        <v>1353</v>
      </c>
      <c r="S24" s="1585" t="s">
        <v>1900</v>
      </c>
    </row>
    <row r="25" spans="1:19" s="1285" customFormat="1" ht="12" customHeight="1" x14ac:dyDescent="0.2">
      <c r="A25" s="1691">
        <v>5351</v>
      </c>
      <c r="B25" s="1690" t="s">
        <v>1830</v>
      </c>
      <c r="C25" s="1273">
        <v>0</v>
      </c>
      <c r="D25" s="1273">
        <v>0</v>
      </c>
      <c r="E25" s="1274">
        <f t="shared" si="0"/>
        <v>0</v>
      </c>
      <c r="F25" s="1686" t="s">
        <v>1846</v>
      </c>
      <c r="G25" s="1276"/>
      <c r="H25" s="1559">
        <f t="shared" si="2"/>
        <v>0</v>
      </c>
      <c r="I25" s="1276"/>
      <c r="J25" s="1279"/>
      <c r="K25" s="1275"/>
      <c r="L25" s="1280"/>
      <c r="M25" s="1288"/>
      <c r="N25" s="1284"/>
      <c r="O25" s="1289"/>
      <c r="P25" s="1284" t="s">
        <v>1353</v>
      </c>
      <c r="Q25" s="1284" t="s">
        <v>1353</v>
      </c>
      <c r="R25" s="1284" t="s">
        <v>1353</v>
      </c>
      <c r="S25" s="1585" t="s">
        <v>1900</v>
      </c>
    </row>
    <row r="26" spans="1:19" s="1285" customFormat="1" ht="12" customHeight="1" x14ac:dyDescent="0.2">
      <c r="A26" s="1689">
        <v>5360</v>
      </c>
      <c r="B26" s="1690" t="s">
        <v>1831</v>
      </c>
      <c r="C26" s="1273">
        <v>3111820883</v>
      </c>
      <c r="D26" s="1273">
        <v>2932613701</v>
      </c>
      <c r="E26" s="1274">
        <f t="shared" si="0"/>
        <v>179207182</v>
      </c>
      <c r="F26" s="1686">
        <f t="shared" si="1"/>
        <v>6.1108349162691172E-2</v>
      </c>
      <c r="G26" s="1276"/>
      <c r="H26" s="1559">
        <f t="shared" si="2"/>
        <v>1.4387340012782387E-3</v>
      </c>
      <c r="I26" s="1276"/>
      <c r="J26" s="1279"/>
      <c r="K26" s="1275"/>
      <c r="L26" s="1280"/>
      <c r="M26" s="1288"/>
      <c r="N26" s="1284"/>
      <c r="O26" s="1289"/>
      <c r="P26" s="1284" t="s">
        <v>1353</v>
      </c>
      <c r="Q26" s="1284" t="s">
        <v>1353</v>
      </c>
      <c r="R26" s="1284" t="s">
        <v>1353</v>
      </c>
      <c r="S26" s="1585" t="s">
        <v>1900</v>
      </c>
    </row>
    <row r="27" spans="1:19" s="1285" customFormat="1" ht="12" customHeight="1" x14ac:dyDescent="0.2">
      <c r="A27" s="1689">
        <v>5364</v>
      </c>
      <c r="B27" s="1690" t="s">
        <v>1832</v>
      </c>
      <c r="C27" s="1273">
        <v>184525604198</v>
      </c>
      <c r="D27" s="1273">
        <v>164115462473</v>
      </c>
      <c r="E27" s="1274">
        <f t="shared" si="0"/>
        <v>20410141725</v>
      </c>
      <c r="F27" s="1686">
        <f t="shared" si="1"/>
        <v>0.12436452615400478</v>
      </c>
      <c r="G27" s="1276"/>
      <c r="H27" s="1559">
        <f t="shared" si="2"/>
        <v>8.5314441559415782E-2</v>
      </c>
      <c r="I27" s="1276"/>
      <c r="J27" s="1279"/>
      <c r="K27" s="1275"/>
      <c r="L27" s="1280"/>
      <c r="M27" s="1288"/>
      <c r="N27" s="1284"/>
      <c r="O27" s="1289"/>
      <c r="P27" s="1284" t="s">
        <v>1353</v>
      </c>
      <c r="Q27" s="1284" t="s">
        <v>1353</v>
      </c>
      <c r="R27" s="1284" t="s">
        <v>1353</v>
      </c>
      <c r="S27" s="1585" t="s">
        <v>1900</v>
      </c>
    </row>
    <row r="28" spans="1:19" s="1285" customFormat="1" ht="12" customHeight="1" x14ac:dyDescent="0.2">
      <c r="A28" s="1689">
        <v>5366</v>
      </c>
      <c r="B28" s="1690" t="s">
        <v>1833</v>
      </c>
      <c r="C28" s="1273">
        <v>1250125330</v>
      </c>
      <c r="D28" s="1273">
        <v>637231727</v>
      </c>
      <c r="E28" s="1274">
        <f t="shared" si="0"/>
        <v>612893603</v>
      </c>
      <c r="F28" s="1686">
        <f t="shared" si="1"/>
        <v>0.96180647797531904</v>
      </c>
      <c r="G28" s="1276"/>
      <c r="H28" s="1559">
        <f t="shared" si="2"/>
        <v>5.7798886431927661E-4</v>
      </c>
      <c r="I28" s="1276"/>
      <c r="J28" s="1279"/>
      <c r="K28" s="1275"/>
      <c r="L28" s="1280"/>
      <c r="M28" s="1288"/>
      <c r="N28" s="1284"/>
      <c r="O28" s="1289"/>
      <c r="P28" s="1284" t="s">
        <v>1353</v>
      </c>
      <c r="Q28" s="1284" t="s">
        <v>1353</v>
      </c>
      <c r="R28" s="1284" t="s">
        <v>1353</v>
      </c>
      <c r="S28" s="1585" t="s">
        <v>1900</v>
      </c>
    </row>
    <row r="29" spans="1:19" s="1285" customFormat="1" ht="12" customHeight="1" x14ac:dyDescent="0.2">
      <c r="A29" s="1691">
        <v>5368</v>
      </c>
      <c r="B29" s="1690" t="s">
        <v>1834</v>
      </c>
      <c r="C29" s="1273">
        <v>10057324111</v>
      </c>
      <c r="D29" s="1273">
        <v>11470385455</v>
      </c>
      <c r="E29" s="1274">
        <f t="shared" si="0"/>
        <v>-1413061344</v>
      </c>
      <c r="F29" s="1686">
        <f t="shared" si="1"/>
        <v>-0.12319214114849465</v>
      </c>
      <c r="G29" s="1276"/>
      <c r="H29" s="1559">
        <f t="shared" si="2"/>
        <v>4.6499508501341774E-3</v>
      </c>
      <c r="I29" s="1276"/>
      <c r="J29" s="1279"/>
      <c r="K29" s="1275"/>
      <c r="L29" s="1280"/>
      <c r="M29" s="1288"/>
      <c r="N29" s="1284"/>
      <c r="O29" s="1289"/>
      <c r="P29" s="1284" t="s">
        <v>1353</v>
      </c>
      <c r="Q29" s="1284" t="s">
        <v>1353</v>
      </c>
      <c r="R29" s="1284" t="s">
        <v>1353</v>
      </c>
      <c r="S29" s="1585" t="s">
        <v>1900</v>
      </c>
    </row>
    <row r="30" spans="1:19" s="1285" customFormat="1" ht="12" customHeight="1" x14ac:dyDescent="0.2">
      <c r="A30" s="1689">
        <v>5423</v>
      </c>
      <c r="B30" s="1690" t="s">
        <v>1819</v>
      </c>
      <c r="C30" s="1273">
        <v>1000793391</v>
      </c>
      <c r="D30" s="1273">
        <v>2354309553</v>
      </c>
      <c r="E30" s="1274">
        <f t="shared" si="0"/>
        <v>-1353516162</v>
      </c>
      <c r="F30" s="1686">
        <f t="shared" si="1"/>
        <v>-0.57491002416197556</v>
      </c>
      <c r="G30" s="1276"/>
      <c r="H30" s="1559">
        <f t="shared" si="2"/>
        <v>4.6271155507450425E-4</v>
      </c>
      <c r="I30" s="1276"/>
      <c r="J30" s="1279"/>
      <c r="K30" s="1275"/>
      <c r="L30" s="1280"/>
      <c r="M30" s="1288"/>
      <c r="N30" s="1284"/>
      <c r="O30" s="1289"/>
      <c r="P30" s="1284" t="s">
        <v>1353</v>
      </c>
      <c r="Q30" s="1284" t="s">
        <v>1353</v>
      </c>
      <c r="R30" s="1284" t="s">
        <v>1353</v>
      </c>
      <c r="S30" s="1585" t="s">
        <v>1900</v>
      </c>
    </row>
    <row r="31" spans="1:19" s="1285" customFormat="1" ht="12" customHeight="1" x14ac:dyDescent="0.2">
      <c r="A31" s="1689">
        <v>5424</v>
      </c>
      <c r="B31" s="1690" t="s">
        <v>1835</v>
      </c>
      <c r="C31" s="1273">
        <v>0</v>
      </c>
      <c r="D31" s="1273">
        <v>2965723707</v>
      </c>
      <c r="E31" s="1274">
        <f t="shared" si="0"/>
        <v>-2965723707</v>
      </c>
      <c r="F31" s="1686">
        <f t="shared" si="1"/>
        <v>-1</v>
      </c>
      <c r="G31" s="1276"/>
      <c r="H31" s="1559">
        <f t="shared" si="2"/>
        <v>0</v>
      </c>
      <c r="I31" s="1276"/>
      <c r="J31" s="1279"/>
      <c r="K31" s="1275"/>
      <c r="L31" s="1280"/>
      <c r="M31" s="1288"/>
      <c r="N31" s="1284"/>
      <c r="O31" s="1289"/>
      <c r="P31" s="1284" t="s">
        <v>1353</v>
      </c>
      <c r="Q31" s="1284" t="s">
        <v>1353</v>
      </c>
      <c r="R31" s="1284" t="s">
        <v>1353</v>
      </c>
      <c r="S31" s="1585" t="s">
        <v>1900</v>
      </c>
    </row>
    <row r="32" spans="1:19" s="1285" customFormat="1" ht="12" customHeight="1" x14ac:dyDescent="0.2">
      <c r="A32" s="1689">
        <v>5720</v>
      </c>
      <c r="B32" s="1692" t="s">
        <v>1836</v>
      </c>
      <c r="C32" s="1273">
        <v>6137764575</v>
      </c>
      <c r="D32" s="1273">
        <v>4185488843</v>
      </c>
      <c r="E32" s="1274">
        <f t="shared" si="0"/>
        <v>1952275732</v>
      </c>
      <c r="F32" s="1686">
        <f t="shared" si="1"/>
        <v>0.46643911983305697</v>
      </c>
      <c r="G32" s="1276"/>
      <c r="H32" s="1559">
        <f t="shared" si="2"/>
        <v>2.8377631354476575E-3</v>
      </c>
      <c r="I32" s="1276"/>
      <c r="J32" s="1279"/>
      <c r="K32" s="1275"/>
      <c r="L32" s="1280"/>
      <c r="M32" s="1288"/>
      <c r="N32" s="1284"/>
      <c r="O32" s="1289"/>
      <c r="P32" s="1284" t="s">
        <v>1353</v>
      </c>
      <c r="Q32" s="1284" t="s">
        <v>1353</v>
      </c>
      <c r="R32" s="1284" t="s">
        <v>1353</v>
      </c>
      <c r="S32" s="1585" t="s">
        <v>1900</v>
      </c>
    </row>
    <row r="33" spans="1:19" s="1285" customFormat="1" ht="12" customHeight="1" x14ac:dyDescent="0.2">
      <c r="A33" s="1689">
        <v>5722</v>
      </c>
      <c r="B33" s="1690" t="s">
        <v>1837</v>
      </c>
      <c r="C33" s="1273">
        <v>0</v>
      </c>
      <c r="D33" s="1273">
        <v>5330221071</v>
      </c>
      <c r="E33" s="1274">
        <f t="shared" si="0"/>
        <v>-5330221071</v>
      </c>
      <c r="F33" s="1686">
        <f t="shared" si="1"/>
        <v>-1</v>
      </c>
      <c r="G33" s="1276"/>
      <c r="H33" s="1559">
        <f t="shared" si="2"/>
        <v>0</v>
      </c>
      <c r="I33" s="1276"/>
      <c r="J33" s="1279"/>
      <c r="K33" s="1275"/>
      <c r="L33" s="1280"/>
      <c r="M33" s="1288"/>
      <c r="N33" s="1284"/>
      <c r="O33" s="1289"/>
      <c r="P33" s="1284" t="s">
        <v>1353</v>
      </c>
      <c r="Q33" s="1284" t="s">
        <v>1353</v>
      </c>
      <c r="R33" s="1284" t="s">
        <v>1353</v>
      </c>
      <c r="S33" s="1585" t="s">
        <v>1900</v>
      </c>
    </row>
    <row r="34" spans="1:19" s="1285" customFormat="1" ht="12" customHeight="1" x14ac:dyDescent="0.2">
      <c r="A34" s="1689">
        <v>4802</v>
      </c>
      <c r="B34" s="1690" t="s">
        <v>1838</v>
      </c>
      <c r="C34" s="1273">
        <v>95961802033</v>
      </c>
      <c r="D34" s="1273">
        <v>169799792552</v>
      </c>
      <c r="E34" s="1274">
        <f t="shared" si="0"/>
        <v>-73837990519</v>
      </c>
      <c r="F34" s="1686">
        <f t="shared" si="1"/>
        <v>-0.43485324339479176</v>
      </c>
      <c r="G34" s="1276" t="s">
        <v>1853</v>
      </c>
      <c r="H34" s="1559">
        <f t="shared" si="2"/>
        <v>4.4367433923673018E-2</v>
      </c>
      <c r="I34" s="1276"/>
      <c r="J34" s="1279"/>
      <c r="K34" s="1275"/>
      <c r="L34" s="1280"/>
      <c r="M34" s="1288"/>
      <c r="N34" s="1284"/>
      <c r="O34" s="1289"/>
      <c r="P34" s="1284" t="s">
        <v>1353</v>
      </c>
      <c r="Q34" s="1284" t="s">
        <v>1353</v>
      </c>
      <c r="R34" s="1284" t="s">
        <v>1353</v>
      </c>
      <c r="S34" s="1585" t="s">
        <v>1900</v>
      </c>
    </row>
    <row r="35" spans="1:19" s="1285" customFormat="1" ht="12" customHeight="1" x14ac:dyDescent="0.2">
      <c r="A35" s="1689">
        <v>4808</v>
      </c>
      <c r="B35" s="1690" t="s">
        <v>1839</v>
      </c>
      <c r="C35" s="1273">
        <v>33581700699</v>
      </c>
      <c r="D35" s="1273">
        <v>17665386482</v>
      </c>
      <c r="E35" s="1274">
        <f t="shared" si="0"/>
        <v>15916314217</v>
      </c>
      <c r="F35" s="1686">
        <f t="shared" si="1"/>
        <v>0.90098873484697306</v>
      </c>
      <c r="G35" s="1276"/>
      <c r="H35" s="1559">
        <f t="shared" si="2"/>
        <v>1.552632250793996E-2</v>
      </c>
      <c r="I35" s="1288"/>
      <c r="J35" s="1275"/>
      <c r="K35" s="1280"/>
      <c r="L35" s="1288"/>
      <c r="M35" s="1288"/>
      <c r="N35" s="1289"/>
      <c r="O35" s="1288"/>
      <c r="P35" s="1284" t="s">
        <v>1353</v>
      </c>
      <c r="Q35" s="1289" t="s">
        <v>1353</v>
      </c>
      <c r="R35" s="1289" t="s">
        <v>1353</v>
      </c>
      <c r="S35" s="1585" t="s">
        <v>1900</v>
      </c>
    </row>
    <row r="36" spans="1:19" s="1285" customFormat="1" ht="12" customHeight="1" x14ac:dyDescent="0.2">
      <c r="A36" s="1689">
        <v>4830</v>
      </c>
      <c r="B36" s="1690" t="s">
        <v>1840</v>
      </c>
      <c r="C36" s="1273">
        <v>213803784</v>
      </c>
      <c r="D36" s="1273">
        <v>2377653063</v>
      </c>
      <c r="E36" s="1274">
        <f t="shared" si="0"/>
        <v>-2163849279</v>
      </c>
      <c r="F36" s="1686">
        <f t="shared" si="1"/>
        <v>-0.91007780431589402</v>
      </c>
      <c r="G36" s="1276"/>
      <c r="H36" s="1559">
        <f t="shared" si="2"/>
        <v>9.8851053838997028E-5</v>
      </c>
      <c r="I36" s="1288"/>
      <c r="J36" s="1275"/>
      <c r="K36" s="1280"/>
      <c r="L36" s="1288"/>
      <c r="M36" s="1288"/>
      <c r="N36" s="1284"/>
      <c r="O36" s="1288"/>
      <c r="P36" s="1284" t="s">
        <v>1353</v>
      </c>
      <c r="Q36" s="1284" t="s">
        <v>1353</v>
      </c>
      <c r="R36" s="1284" t="s">
        <v>1353</v>
      </c>
      <c r="S36" s="1585" t="s">
        <v>1900</v>
      </c>
    </row>
    <row r="37" spans="1:19" s="1285" customFormat="1" ht="12" customHeight="1" x14ac:dyDescent="0.2">
      <c r="A37" s="1689">
        <v>4831</v>
      </c>
      <c r="B37" s="1690" t="s">
        <v>1841</v>
      </c>
      <c r="C37" s="1273">
        <v>9564885441</v>
      </c>
      <c r="D37" s="1273">
        <v>7689061625</v>
      </c>
      <c r="E37" s="1274">
        <f t="shared" si="0"/>
        <v>1875823816</v>
      </c>
      <c r="F37" s="1686">
        <f t="shared" si="1"/>
        <v>0.24396004447421762</v>
      </c>
      <c r="G37" s="1276"/>
      <c r="H37" s="1559">
        <f t="shared" si="2"/>
        <v>4.4222744237872322E-3</v>
      </c>
      <c r="I37" s="1288"/>
      <c r="J37" s="1275"/>
      <c r="K37" s="1280"/>
      <c r="L37" s="1288"/>
      <c r="M37" s="1288"/>
      <c r="N37" s="1289"/>
      <c r="O37" s="1288"/>
      <c r="P37" s="1284" t="s">
        <v>1353</v>
      </c>
      <c r="Q37" s="1289" t="s">
        <v>1353</v>
      </c>
      <c r="R37" s="1289" t="s">
        <v>1353</v>
      </c>
      <c r="S37" s="1585" t="s">
        <v>1900</v>
      </c>
    </row>
    <row r="38" spans="1:19" s="1285" customFormat="1" ht="12" customHeight="1" x14ac:dyDescent="0.2">
      <c r="A38" s="1689">
        <v>5802</v>
      </c>
      <c r="B38" s="1690" t="s">
        <v>1842</v>
      </c>
      <c r="C38" s="1273">
        <v>1004676</v>
      </c>
      <c r="D38" s="1273">
        <v>1068385</v>
      </c>
      <c r="E38" s="1274">
        <f t="shared" si="0"/>
        <v>-63709</v>
      </c>
      <c r="F38" s="1686">
        <f t="shared" si="1"/>
        <v>-5.9631125483790959E-2</v>
      </c>
      <c r="G38" s="1276" t="s">
        <v>1854</v>
      </c>
      <c r="H38" s="1559">
        <f t="shared" si="2"/>
        <v>4.6450665890341858E-7</v>
      </c>
      <c r="I38" s="1288"/>
      <c r="J38" s="1275"/>
      <c r="K38" s="1280"/>
      <c r="L38" s="1288"/>
      <c r="M38" s="1288"/>
      <c r="N38" s="1284"/>
      <c r="O38" s="1289"/>
      <c r="P38" s="1284" t="s">
        <v>1353</v>
      </c>
      <c r="Q38" s="1284" t="s">
        <v>1353</v>
      </c>
      <c r="R38" s="1284" t="s">
        <v>1353</v>
      </c>
      <c r="S38" s="1585" t="s">
        <v>1900</v>
      </c>
    </row>
    <row r="39" spans="1:19" s="1285" customFormat="1" ht="12" customHeight="1" x14ac:dyDescent="0.2">
      <c r="A39" s="1689">
        <v>5804</v>
      </c>
      <c r="B39" s="1690" t="s">
        <v>1838</v>
      </c>
      <c r="C39" s="1273">
        <v>1284107284</v>
      </c>
      <c r="D39" s="1273">
        <v>9074869233</v>
      </c>
      <c r="E39" s="1274">
        <f t="shared" si="0"/>
        <v>-7790761949</v>
      </c>
      <c r="F39" s="1686">
        <f t="shared" si="1"/>
        <v>-0.85849853578821256</v>
      </c>
      <c r="G39" s="1276"/>
      <c r="H39" s="1559">
        <f t="shared" si="2"/>
        <v>5.9370024183356951E-4</v>
      </c>
      <c r="I39" s="1288"/>
      <c r="J39" s="1275"/>
      <c r="K39" s="1280"/>
      <c r="L39" s="1288"/>
      <c r="M39" s="1288"/>
      <c r="N39" s="1284"/>
      <c r="O39" s="1288"/>
      <c r="P39" s="1284" t="s">
        <v>1353</v>
      </c>
      <c r="Q39" s="1284" t="s">
        <v>1353</v>
      </c>
      <c r="R39" s="1284" t="s">
        <v>1353</v>
      </c>
      <c r="S39" s="1585" t="s">
        <v>1900</v>
      </c>
    </row>
    <row r="40" spans="1:19" s="1285" customFormat="1" ht="12" customHeight="1" x14ac:dyDescent="0.2">
      <c r="A40" s="1689">
        <v>5890</v>
      </c>
      <c r="B40" s="1690" t="s">
        <v>1843</v>
      </c>
      <c r="C40" s="1273">
        <v>2024186227</v>
      </c>
      <c r="D40" s="1273">
        <v>7355199899</v>
      </c>
      <c r="E40" s="1274">
        <f t="shared" si="0"/>
        <v>-5331013672</v>
      </c>
      <c r="F40" s="1686">
        <f t="shared" si="1"/>
        <v>-0.72479521225858123</v>
      </c>
      <c r="G40" s="1276"/>
      <c r="H40" s="1559">
        <f t="shared" si="2"/>
        <v>9.3587184455693861E-4</v>
      </c>
      <c r="I40" s="1288"/>
      <c r="J40" s="1275"/>
      <c r="K40" s="1280"/>
      <c r="L40" s="1288"/>
      <c r="M40" s="1288"/>
      <c r="N40" s="1284"/>
      <c r="O40" s="1288"/>
      <c r="P40" s="1284" t="s">
        <v>1353</v>
      </c>
      <c r="Q40" s="1284" t="s">
        <v>1353</v>
      </c>
      <c r="R40" s="1284" t="s">
        <v>1353</v>
      </c>
      <c r="S40" s="1585" t="s">
        <v>1900</v>
      </c>
    </row>
    <row r="41" spans="1:19" s="1285" customFormat="1" ht="12" customHeight="1" x14ac:dyDescent="0.2">
      <c r="A41" s="1691">
        <v>5893</v>
      </c>
      <c r="B41" s="1690" t="s">
        <v>1844</v>
      </c>
      <c r="C41" s="1273">
        <v>852515177</v>
      </c>
      <c r="D41" s="1273">
        <v>5791827358</v>
      </c>
      <c r="E41" s="1274">
        <f t="shared" si="0"/>
        <v>-4939312181</v>
      </c>
      <c r="F41" s="1686">
        <f t="shared" si="1"/>
        <v>-0.85280721880936972</v>
      </c>
      <c r="G41" s="1276"/>
      <c r="H41" s="1559">
        <f t="shared" si="2"/>
        <v>3.9415590352783039E-4</v>
      </c>
      <c r="I41" s="1288"/>
      <c r="J41" s="1275"/>
      <c r="K41" s="1280"/>
      <c r="L41" s="1288"/>
      <c r="M41" s="1288"/>
      <c r="N41" s="1284"/>
      <c r="O41" s="1288"/>
      <c r="P41" s="1284" t="s">
        <v>1353</v>
      </c>
      <c r="Q41" s="1284" t="s">
        <v>1353</v>
      </c>
      <c r="R41" s="1284" t="s">
        <v>1353</v>
      </c>
      <c r="S41" s="1585" t="s">
        <v>1900</v>
      </c>
    </row>
    <row r="42" spans="1:19" s="1285" customFormat="1" ht="12" hidden="1" customHeight="1" x14ac:dyDescent="0.2">
      <c r="A42" s="1272"/>
      <c r="B42" s="1272"/>
      <c r="C42" s="1273">
        <f>SUM(C34:C41)</f>
        <v>143484005321</v>
      </c>
      <c r="D42" s="1273"/>
      <c r="E42" s="1274"/>
      <c r="F42" s="1275"/>
      <c r="G42" s="1276"/>
      <c r="H42" s="1559">
        <f t="shared" si="2"/>
        <v>6.6339074405816448E-2</v>
      </c>
      <c r="I42" s="1288"/>
      <c r="J42" s="1275"/>
      <c r="K42" s="1280"/>
      <c r="L42" s="1288"/>
      <c r="M42" s="1288"/>
      <c r="N42" s="1284"/>
      <c r="O42" s="1288"/>
      <c r="P42" s="1288"/>
      <c r="Q42" s="1284"/>
      <c r="R42" s="1284"/>
      <c r="S42" s="1284"/>
    </row>
    <row r="43" spans="1:19" s="1285" customFormat="1" ht="11.25" hidden="1" x14ac:dyDescent="0.2">
      <c r="A43" s="1272"/>
      <c r="B43" s="1272"/>
      <c r="C43" s="1273">
        <f>+SUM(C12:C15)</f>
        <v>2019404256328</v>
      </c>
      <c r="D43" s="1273"/>
      <c r="E43" s="1274"/>
      <c r="F43" s="1275"/>
      <c r="G43" s="1276"/>
      <c r="H43" s="1559">
        <f t="shared" si="2"/>
        <v>0.93366092559418357</v>
      </c>
      <c r="I43" s="1288"/>
      <c r="J43" s="1275"/>
      <c r="K43" s="1280"/>
      <c r="L43" s="1288"/>
      <c r="M43" s="1288"/>
      <c r="N43" s="1284"/>
      <c r="O43" s="1288"/>
      <c r="P43" s="1288"/>
      <c r="Q43" s="1284"/>
      <c r="R43" s="1284"/>
      <c r="S43" s="1284"/>
    </row>
    <row r="44" spans="1:19" s="1285" customFormat="1" ht="11.25" hidden="1" x14ac:dyDescent="0.2">
      <c r="A44" s="1272"/>
      <c r="B44" s="1272" t="s">
        <v>1839</v>
      </c>
      <c r="C44" s="1273">
        <f>+C43+C42</f>
        <v>2162888261649</v>
      </c>
      <c r="D44" s="1273"/>
      <c r="E44" s="1274"/>
      <c r="F44" s="1275"/>
      <c r="G44" s="1276"/>
      <c r="H44" s="1559">
        <f t="shared" si="2"/>
        <v>1</v>
      </c>
      <c r="I44" s="1288"/>
      <c r="J44" s="1275"/>
      <c r="K44" s="1280"/>
      <c r="L44" s="1288"/>
      <c r="M44" s="1288"/>
      <c r="N44" s="1284"/>
      <c r="O44" s="1288"/>
      <c r="P44" s="1288"/>
      <c r="Q44" s="1284"/>
      <c r="R44" s="1284"/>
      <c r="S44" s="1284"/>
    </row>
    <row r="45" spans="1:19" s="1285" customFormat="1" ht="12" hidden="1" customHeight="1" x14ac:dyDescent="0.2">
      <c r="A45" s="1566"/>
      <c r="B45" s="1567" t="s">
        <v>1765</v>
      </c>
      <c r="C45" s="1273">
        <v>454486780672</v>
      </c>
      <c r="D45" s="1273"/>
      <c r="E45" s="1274"/>
      <c r="F45" s="1275"/>
      <c r="G45" s="1276"/>
      <c r="H45" s="1277"/>
      <c r="I45" s="1288"/>
      <c r="J45" s="1275"/>
      <c r="K45" s="1280"/>
      <c r="L45" s="1288"/>
      <c r="M45" s="1288"/>
      <c r="N45" s="1284"/>
      <c r="O45" s="1288"/>
      <c r="P45" s="1288"/>
      <c r="Q45" s="1284"/>
      <c r="R45" s="1284"/>
      <c r="S45" s="1284"/>
    </row>
    <row r="46" spans="1:19" s="51" customFormat="1" x14ac:dyDescent="0.2">
      <c r="B46" s="1563"/>
      <c r="C46" s="1290"/>
      <c r="D46" s="1290"/>
    </row>
    <row r="47" spans="1:19" s="51" customFormat="1" x14ac:dyDescent="0.2">
      <c r="C47" s="1290"/>
      <c r="D47" s="1290"/>
    </row>
    <row r="48" spans="1:19" s="51" customFormat="1" ht="14.25" customHeight="1" x14ac:dyDescent="0.2">
      <c r="B48" s="1886" t="s">
        <v>670</v>
      </c>
      <c r="C48" s="1888"/>
      <c r="D48" s="1889"/>
      <c r="E48" s="1889"/>
      <c r="F48" s="1890"/>
      <c r="G48" s="1268"/>
    </row>
    <row r="49" spans="1:19" s="51" customFormat="1" ht="14.25" customHeight="1" x14ac:dyDescent="0.2">
      <c r="B49" s="1887"/>
      <c r="C49" s="1891"/>
      <c r="D49" s="1892"/>
      <c r="E49" s="1892"/>
      <c r="F49" s="1893"/>
      <c r="G49" s="1268"/>
    </row>
    <row r="50" spans="1:19" s="51" customFormat="1" ht="15" thickBot="1" x14ac:dyDescent="0.25"/>
    <row r="51" spans="1:19" s="51" customFormat="1" ht="15" thickBot="1" x14ac:dyDescent="0.25">
      <c r="B51" s="1894" t="s">
        <v>671</v>
      </c>
      <c r="C51" s="1897" t="s">
        <v>1866</v>
      </c>
      <c r="D51" s="1898"/>
      <c r="E51" s="1898"/>
      <c r="F51" s="1899"/>
      <c r="G51" s="1269"/>
      <c r="H51" s="1269"/>
      <c r="I51" s="1269"/>
      <c r="J51" s="1269"/>
      <c r="K51" s="1269"/>
      <c r="L51" s="1269"/>
      <c r="M51" s="1269"/>
      <c r="N51" s="1269"/>
      <c r="O51" s="1269"/>
      <c r="P51" s="1269"/>
      <c r="Q51" s="1269"/>
      <c r="R51" s="1269"/>
      <c r="S51" s="1269"/>
    </row>
    <row r="52" spans="1:19" s="51" customFormat="1" ht="15" thickBot="1" x14ac:dyDescent="0.25">
      <c r="B52" s="1895"/>
      <c r="C52" s="1897"/>
      <c r="D52" s="1898"/>
      <c r="E52" s="1898"/>
      <c r="F52" s="1899"/>
      <c r="G52" s="310"/>
      <c r="H52" s="310"/>
      <c r="I52" s="310"/>
      <c r="J52" s="310"/>
      <c r="K52" s="310"/>
      <c r="L52" s="310"/>
      <c r="M52" s="310"/>
      <c r="N52" s="310"/>
      <c r="O52" s="310"/>
      <c r="P52" s="310"/>
      <c r="Q52" s="310"/>
      <c r="R52" s="310"/>
      <c r="S52" s="310"/>
    </row>
    <row r="53" spans="1:19" s="51" customFormat="1" ht="15" thickBot="1" x14ac:dyDescent="0.25">
      <c r="B53" s="1896"/>
      <c r="C53" s="1897"/>
      <c r="D53" s="1898"/>
      <c r="E53" s="1898"/>
      <c r="F53" s="1899"/>
      <c r="G53" s="310"/>
      <c r="H53" s="310"/>
      <c r="I53" s="310"/>
      <c r="J53" s="310"/>
      <c r="K53" s="310"/>
      <c r="L53" s="310"/>
      <c r="M53" s="310"/>
      <c r="N53" s="310"/>
      <c r="O53" s="310"/>
      <c r="P53" s="310"/>
      <c r="Q53" s="310"/>
      <c r="R53" s="310"/>
      <c r="S53" s="310"/>
    </row>
    <row r="54" spans="1:19" s="51" customFormat="1" ht="15" thickBot="1" x14ac:dyDescent="0.25">
      <c r="B54" s="1270" t="s">
        <v>672</v>
      </c>
      <c r="C54" s="1897" t="s">
        <v>1865</v>
      </c>
      <c r="D54" s="1898"/>
      <c r="E54" s="1898"/>
      <c r="F54" s="1899"/>
      <c r="G54" s="310"/>
      <c r="H54" s="310"/>
      <c r="I54" s="310"/>
      <c r="J54" s="310"/>
      <c r="K54" s="310"/>
      <c r="L54" s="310"/>
      <c r="M54" s="310"/>
      <c r="N54" s="310"/>
      <c r="O54" s="310"/>
      <c r="P54" s="310"/>
      <c r="Q54" s="310"/>
      <c r="R54" s="310"/>
      <c r="S54" s="310"/>
    </row>
    <row r="55" spans="1:19" s="51" customFormat="1" x14ac:dyDescent="0.2"/>
    <row r="56" spans="1:19" s="51" customFormat="1" ht="15" x14ac:dyDescent="0.25">
      <c r="B56" s="51" t="s">
        <v>673</v>
      </c>
    </row>
    <row r="57" spans="1:19" s="51" customFormat="1" ht="15" x14ac:dyDescent="0.25">
      <c r="B57" s="51" t="s">
        <v>674</v>
      </c>
    </row>
    <row r="58" spans="1:19" s="51" customFormat="1" ht="15" x14ac:dyDescent="0.25">
      <c r="B58" s="51" t="s">
        <v>1867</v>
      </c>
    </row>
    <row r="59" spans="1:19" s="51" customFormat="1" x14ac:dyDescent="0.2">
      <c r="C59" s="1290"/>
      <c r="D59" s="1290"/>
    </row>
    <row r="60" spans="1:19" s="51" customFormat="1" x14ac:dyDescent="0.2">
      <c r="C60" s="1290"/>
      <c r="D60" s="1290"/>
    </row>
    <row r="61" spans="1:19" ht="36" customHeight="1" x14ac:dyDescent="0.2">
      <c r="A61" s="1917" t="s">
        <v>1934</v>
      </c>
      <c r="B61" s="1917"/>
      <c r="C61" s="1917"/>
      <c r="D61" s="1917"/>
      <c r="E61" s="1917"/>
      <c r="F61" s="1917"/>
      <c r="G61" s="1917"/>
      <c r="H61" s="1917"/>
      <c r="J61" s="62"/>
      <c r="K61" s="62"/>
      <c r="N61" s="62"/>
      <c r="O61" s="62"/>
      <c r="Q61" s="62"/>
      <c r="R61" s="62"/>
    </row>
    <row r="62" spans="1:19" x14ac:dyDescent="0.2">
      <c r="C62" s="11"/>
      <c r="D62" s="11"/>
      <c r="H62" s="1187"/>
      <c r="J62" s="62"/>
      <c r="K62" s="62"/>
      <c r="N62" s="62"/>
      <c r="O62" s="62"/>
      <c r="Q62" s="62"/>
      <c r="R62" s="62"/>
    </row>
    <row r="63" spans="1:19" ht="18" x14ac:dyDescent="0.2">
      <c r="C63" s="1906" t="s">
        <v>676</v>
      </c>
      <c r="D63" s="1906"/>
      <c r="E63" s="1906"/>
      <c r="F63" s="1906"/>
      <c r="G63" s="1906"/>
      <c r="H63" s="1906"/>
    </row>
    <row r="64" spans="1:19" x14ac:dyDescent="0.2">
      <c r="B64" s="11" t="s">
        <v>0</v>
      </c>
      <c r="C64" s="1925" t="str">
        <f>IF(C65="Fondo de Pensiones Públicas de Bogotá – FPPB",C6,IF(C65="Sistema Intregado de Transporte Público-SITP",C6,"NO APLICA"))</f>
        <v xml:space="preserve">150000 - DIRECCIÓN SECTOR HACIENDA </v>
      </c>
      <c r="D64" s="1925"/>
    </row>
    <row r="65" spans="1:19" x14ac:dyDescent="0.2">
      <c r="B65" s="11" t="s">
        <v>1</v>
      </c>
      <c r="C65" s="1932" t="str">
        <f>IF(C7="206 - Fondo de Prestaciones Económicas, Cesantías y Pensiones – FONCEP ","Fondo de Pensiones Públicas de Bogotá – FPPB",IF(C7="262 - Empresa de Transporte del Tercer Milenio - Transmilenio S.A. ","Sistema Intregado de Transporte Público-SITP","NO APLICA"))</f>
        <v>Fondo de Pensiones Públicas de Bogotá – FPPB</v>
      </c>
      <c r="D65" s="1932"/>
      <c r="F65" s="305" t="s">
        <v>2</v>
      </c>
      <c r="G65" s="306"/>
      <c r="H65" s="1260">
        <f>+H7</f>
        <v>2024</v>
      </c>
      <c r="P65" s="307"/>
      <c r="Q65" s="307"/>
      <c r="R65" s="307"/>
      <c r="S65" s="307"/>
    </row>
    <row r="66" spans="1:19" x14ac:dyDescent="0.2">
      <c r="B66" s="11" t="s">
        <v>1683</v>
      </c>
      <c r="C66" s="1264">
        <f>+C8</f>
        <v>2025</v>
      </c>
      <c r="D66" s="1265"/>
      <c r="F66" s="305" t="s">
        <v>3</v>
      </c>
      <c r="G66" s="306"/>
      <c r="H66" s="1260">
        <f>+H8</f>
        <v>87</v>
      </c>
    </row>
    <row r="67" spans="1:19" x14ac:dyDescent="0.2">
      <c r="B67" s="11" t="s">
        <v>4</v>
      </c>
      <c r="C67" s="1262">
        <f>+C9</f>
        <v>45693</v>
      </c>
      <c r="D67" s="1266"/>
      <c r="F67" s="305" t="s">
        <v>5</v>
      </c>
      <c r="G67" s="306"/>
      <c r="H67" s="1263">
        <f>+H9</f>
        <v>45693</v>
      </c>
      <c r="J67" s="1583" t="s">
        <v>1898</v>
      </c>
      <c r="K67" s="1584" t="s">
        <v>1899</v>
      </c>
    </row>
    <row r="68" spans="1:19" ht="15.75" x14ac:dyDescent="0.25">
      <c r="B68" s="49"/>
      <c r="E68" s="49"/>
      <c r="F68" s="49"/>
      <c r="G68" s="49"/>
      <c r="I68" s="11" t="s">
        <v>651</v>
      </c>
      <c r="J68" s="1922" t="s">
        <v>652</v>
      </c>
      <c r="K68" s="1923"/>
      <c r="L68" s="1923"/>
      <c r="M68" s="1923"/>
      <c r="N68" s="1923"/>
      <c r="O68" s="1923"/>
      <c r="P68" s="1923"/>
      <c r="Q68" s="1923"/>
      <c r="R68" s="1923"/>
    </row>
    <row r="69" spans="1:19" s="51" customFormat="1" ht="120" x14ac:dyDescent="0.2">
      <c r="A69" s="1267" t="s">
        <v>653</v>
      </c>
      <c r="B69" s="1267" t="s">
        <v>654</v>
      </c>
      <c r="C69" s="1271" t="s">
        <v>1769</v>
      </c>
      <c r="D69" s="1271" t="s">
        <v>1845</v>
      </c>
      <c r="E69" s="1267" t="s">
        <v>655</v>
      </c>
      <c r="F69" s="1267" t="s">
        <v>656</v>
      </c>
      <c r="G69" s="1267" t="s">
        <v>677</v>
      </c>
      <c r="H69" s="1267" t="s">
        <v>1847</v>
      </c>
      <c r="I69" s="1267" t="s">
        <v>659</v>
      </c>
      <c r="J69" s="1267" t="s">
        <v>660</v>
      </c>
      <c r="K69" s="1267" t="s">
        <v>661</v>
      </c>
      <c r="L69" s="1267" t="s">
        <v>662</v>
      </c>
      <c r="M69" s="1267" t="s">
        <v>663</v>
      </c>
      <c r="N69" s="1267" t="s">
        <v>666</v>
      </c>
      <c r="O69" s="1267" t="s">
        <v>665</v>
      </c>
      <c r="P69" s="1267" t="s">
        <v>678</v>
      </c>
      <c r="Q69" s="1267" t="s">
        <v>664</v>
      </c>
      <c r="R69" s="1267" t="s">
        <v>667</v>
      </c>
      <c r="S69" s="1267" t="s">
        <v>668</v>
      </c>
    </row>
    <row r="70" spans="1:19" s="1285" customFormat="1" ht="12" customHeight="1" x14ac:dyDescent="0.2">
      <c r="A70" s="1568">
        <v>4110</v>
      </c>
      <c r="B70" s="1569" t="s">
        <v>1817</v>
      </c>
      <c r="C70" s="1273">
        <v>30842304067</v>
      </c>
      <c r="D70" s="1273">
        <v>20848258447</v>
      </c>
      <c r="E70" s="1274">
        <f>+C70-D70</f>
        <v>9994045620</v>
      </c>
      <c r="F70" s="1555">
        <f>+(C70-D70)/D70</f>
        <v>0.47937076592784239</v>
      </c>
      <c r="G70" s="1933" t="s">
        <v>1853</v>
      </c>
      <c r="H70" s="1559">
        <f>+C70/$C$44</f>
        <v>1.4259776898269181E-2</v>
      </c>
      <c r="I70" s="1278"/>
      <c r="J70" s="1279"/>
      <c r="K70" s="1275"/>
      <c r="L70" s="1280"/>
      <c r="M70" s="1281"/>
      <c r="N70" s="1282"/>
      <c r="O70" s="1283"/>
      <c r="P70" s="1284" t="s">
        <v>1353</v>
      </c>
      <c r="Q70" s="1282" t="s">
        <v>1353</v>
      </c>
      <c r="R70" s="1282" t="s">
        <v>1353</v>
      </c>
      <c r="S70" s="1585" t="s">
        <v>1900</v>
      </c>
    </row>
    <row r="71" spans="1:19" s="1285" customFormat="1" ht="12" customHeight="1" x14ac:dyDescent="0.2">
      <c r="A71" s="1568">
        <v>4195</v>
      </c>
      <c r="B71" s="1569" t="s">
        <v>1818</v>
      </c>
      <c r="C71" s="1273">
        <v>-101802764</v>
      </c>
      <c r="D71" s="1273">
        <v>-20234409</v>
      </c>
      <c r="E71" s="1274">
        <f t="shared" ref="E71:E99" si="3">+C71-D71</f>
        <v>-81568355</v>
      </c>
      <c r="F71" s="1555">
        <f t="shared" ref="F71:F80" si="4">+(C71-D71)/D71</f>
        <v>4.0311706163496055</v>
      </c>
      <c r="G71" s="1934"/>
      <c r="H71" s="1559">
        <f t="shared" ref="H71" si="5">+C71/$C$44</f>
        <v>-4.7067971936000482E-5</v>
      </c>
      <c r="I71" s="1278"/>
      <c r="J71" s="1279"/>
      <c r="K71" s="1275"/>
      <c r="L71" s="1286"/>
      <c r="M71" s="1281"/>
      <c r="N71" s="1282"/>
      <c r="O71" s="1283"/>
      <c r="P71" s="1284" t="s">
        <v>1353</v>
      </c>
      <c r="Q71" s="1282" t="s">
        <v>1353</v>
      </c>
      <c r="R71" s="1282" t="s">
        <v>1353</v>
      </c>
      <c r="S71" s="1585" t="s">
        <v>1900</v>
      </c>
    </row>
    <row r="72" spans="1:19" s="1285" customFormat="1" ht="12" customHeight="1" x14ac:dyDescent="0.2">
      <c r="A72" s="1568">
        <v>4428</v>
      </c>
      <c r="B72" s="1569" t="s">
        <v>1819</v>
      </c>
      <c r="C72" s="1273">
        <v>1067816556565</v>
      </c>
      <c r="D72" s="1273">
        <v>1037510732467</v>
      </c>
      <c r="E72" s="1274">
        <f t="shared" si="3"/>
        <v>30305824098</v>
      </c>
      <c r="F72" s="1555">
        <f t="shared" si="4"/>
        <v>2.9210130699986694E-2</v>
      </c>
      <c r="G72" s="1934"/>
      <c r="H72" s="1559">
        <f>+C72/$C$44</f>
        <v>0.49369936279134907</v>
      </c>
      <c r="I72" s="1933" t="s">
        <v>1901</v>
      </c>
      <c r="J72" s="1279"/>
      <c r="K72" s="1275">
        <f>+H72</f>
        <v>0.49369936279134907</v>
      </c>
      <c r="L72" s="1286"/>
      <c r="M72" s="1281"/>
      <c r="N72" s="1282"/>
      <c r="O72" s="1283"/>
      <c r="P72" s="1284" t="s">
        <v>1353</v>
      </c>
      <c r="Q72" s="1282" t="s">
        <v>1353</v>
      </c>
      <c r="R72" s="1282" t="s">
        <v>1353</v>
      </c>
      <c r="S72" s="1585" t="s">
        <v>1900</v>
      </c>
    </row>
    <row r="73" spans="1:19" s="1285" customFormat="1" ht="12" customHeight="1" x14ac:dyDescent="0.2">
      <c r="A73" s="1568">
        <v>4705</v>
      </c>
      <c r="B73" s="1569" t="s">
        <v>1820</v>
      </c>
      <c r="C73" s="1273">
        <v>920847198460</v>
      </c>
      <c r="D73" s="1273">
        <v>941951396202</v>
      </c>
      <c r="E73" s="1274">
        <f t="shared" si="3"/>
        <v>-21104197742</v>
      </c>
      <c r="F73" s="1555">
        <f t="shared" si="4"/>
        <v>-2.2404762949652487E-2</v>
      </c>
      <c r="G73" s="1935"/>
      <c r="H73" s="1559">
        <f t="shared" ref="H73:H102" si="6">+C73/$C$44</f>
        <v>0.4257488538765013</v>
      </c>
      <c r="I73" s="1935"/>
      <c r="J73" s="1279"/>
      <c r="K73" s="1275">
        <f>+H73</f>
        <v>0.4257488538765013</v>
      </c>
      <c r="L73" s="1286"/>
      <c r="M73" s="1281"/>
      <c r="N73" s="1282"/>
      <c r="O73" s="1283"/>
      <c r="P73" s="1284" t="s">
        <v>1353</v>
      </c>
      <c r="Q73" s="1282" t="s">
        <v>1353</v>
      </c>
      <c r="R73" s="1282" t="s">
        <v>1353</v>
      </c>
      <c r="S73" s="1585" t="s">
        <v>1900</v>
      </c>
    </row>
    <row r="74" spans="1:19" s="1285" customFormat="1" ht="12" customHeight="1" x14ac:dyDescent="0.2">
      <c r="A74" s="1568">
        <v>5101</v>
      </c>
      <c r="B74" s="1569" t="s">
        <v>1821</v>
      </c>
      <c r="C74" s="1273">
        <v>45830419026</v>
      </c>
      <c r="D74" s="1273">
        <v>39732266958</v>
      </c>
      <c r="E74" s="1274">
        <f t="shared" si="3"/>
        <v>6098152068</v>
      </c>
      <c r="F74" s="1555">
        <f t="shared" si="4"/>
        <v>0.15348110074983151</v>
      </c>
      <c r="G74" s="1933" t="s">
        <v>1854</v>
      </c>
      <c r="H74" s="1559">
        <f t="shared" si="6"/>
        <v>2.1189452935982275E-2</v>
      </c>
      <c r="I74" s="1278"/>
      <c r="J74" s="1279"/>
      <c r="K74" s="1275"/>
      <c r="L74" s="1286"/>
      <c r="M74" s="1281"/>
      <c r="N74" s="1282"/>
      <c r="O74" s="1283"/>
      <c r="P74" s="1284"/>
      <c r="Q74" s="1282"/>
      <c r="R74" s="1282"/>
      <c r="S74" s="1287"/>
    </row>
    <row r="75" spans="1:19" s="1285" customFormat="1" ht="12" customHeight="1" x14ac:dyDescent="0.2">
      <c r="A75" s="1568">
        <v>5103</v>
      </c>
      <c r="B75" s="1569" t="s">
        <v>1822</v>
      </c>
      <c r="C75" s="1273">
        <v>13729644875</v>
      </c>
      <c r="D75" s="1273">
        <v>12551466354</v>
      </c>
      <c r="E75" s="1274">
        <f t="shared" si="3"/>
        <v>1178178521</v>
      </c>
      <c r="F75" s="1555">
        <f t="shared" si="4"/>
        <v>9.3867799010155406E-2</v>
      </c>
      <c r="G75" s="1934"/>
      <c r="H75" s="1559">
        <f t="shared" si="6"/>
        <v>6.3478290203176886E-3</v>
      </c>
      <c r="I75" s="1278"/>
      <c r="J75" s="1279"/>
      <c r="K75" s="1275"/>
      <c r="L75" s="1286"/>
      <c r="M75" s="1281"/>
      <c r="N75" s="1282"/>
      <c r="O75" s="1283"/>
      <c r="P75" s="1284"/>
      <c r="Q75" s="1282"/>
      <c r="R75" s="1282"/>
      <c r="S75" s="1287"/>
    </row>
    <row r="76" spans="1:19" s="1285" customFormat="1" ht="12" customHeight="1" x14ac:dyDescent="0.2">
      <c r="A76" s="1568">
        <v>5104</v>
      </c>
      <c r="B76" s="1569" t="s">
        <v>1823</v>
      </c>
      <c r="C76" s="1273">
        <v>2788552400</v>
      </c>
      <c r="D76" s="1273">
        <v>2498407500</v>
      </c>
      <c r="E76" s="1274">
        <f t="shared" si="3"/>
        <v>290144900</v>
      </c>
      <c r="F76" s="1555">
        <f t="shared" si="4"/>
        <v>0.11613193604325955</v>
      </c>
      <c r="G76" s="1934"/>
      <c r="H76" s="1559">
        <f t="shared" si="6"/>
        <v>1.2892725201966695E-3</v>
      </c>
      <c r="I76" s="1278"/>
      <c r="J76" s="1279"/>
      <c r="K76" s="1275"/>
      <c r="L76" s="1286"/>
      <c r="M76" s="1281"/>
      <c r="N76" s="1282"/>
      <c r="O76" s="1283"/>
      <c r="P76" s="1284"/>
      <c r="Q76" s="1282"/>
      <c r="R76" s="1282"/>
      <c r="S76" s="1287"/>
    </row>
    <row r="77" spans="1:19" s="1285" customFormat="1" ht="12" customHeight="1" x14ac:dyDescent="0.2">
      <c r="A77" s="1568">
        <v>5107</v>
      </c>
      <c r="B77" s="1569" t="s">
        <v>1824</v>
      </c>
      <c r="C77" s="1273">
        <v>23572375270</v>
      </c>
      <c r="D77" s="1273">
        <v>21818994454</v>
      </c>
      <c r="E77" s="1274">
        <f t="shared" si="3"/>
        <v>1753380816</v>
      </c>
      <c r="F77" s="1555">
        <f t="shared" si="4"/>
        <v>8.0360294315880307E-2</v>
      </c>
      <c r="G77" s="1934"/>
      <c r="H77" s="1559">
        <f t="shared" si="6"/>
        <v>1.0898563595711721E-2</v>
      </c>
      <c r="I77" s="1278"/>
      <c r="J77" s="1279"/>
      <c r="K77" s="1275"/>
      <c r="L77" s="1286"/>
      <c r="M77" s="1281"/>
      <c r="N77" s="1282"/>
      <c r="O77" s="1283"/>
      <c r="P77" s="1284"/>
      <c r="Q77" s="1282"/>
      <c r="R77" s="1282"/>
      <c r="S77" s="1287"/>
    </row>
    <row r="78" spans="1:19" s="1285" customFormat="1" ht="12" customHeight="1" x14ac:dyDescent="0.2">
      <c r="A78" s="1568">
        <v>5108</v>
      </c>
      <c r="B78" s="1569" t="s">
        <v>1825</v>
      </c>
      <c r="C78" s="1273">
        <v>1274104639</v>
      </c>
      <c r="D78" s="1273">
        <v>1457462901</v>
      </c>
      <c r="E78" s="1274">
        <f t="shared" si="3"/>
        <v>-183358262</v>
      </c>
      <c r="F78" s="1555">
        <f t="shared" si="4"/>
        <v>-0.12580646949860166</v>
      </c>
      <c r="G78" s="1934"/>
      <c r="H78" s="1559">
        <f t="shared" si="6"/>
        <v>5.8907557158251645E-4</v>
      </c>
      <c r="I78" s="1278"/>
      <c r="J78" s="1279"/>
      <c r="K78" s="1275"/>
      <c r="L78" s="1286"/>
      <c r="M78" s="1281"/>
      <c r="N78" s="1282"/>
      <c r="O78" s="1283"/>
      <c r="P78" s="1284"/>
      <c r="Q78" s="1282"/>
      <c r="R78" s="1282"/>
      <c r="S78" s="1287"/>
    </row>
    <row r="79" spans="1:19" s="1285" customFormat="1" ht="12" customHeight="1" x14ac:dyDescent="0.2">
      <c r="A79" s="1568">
        <v>5111</v>
      </c>
      <c r="B79" s="1569" t="s">
        <v>1826</v>
      </c>
      <c r="C79" s="1273">
        <v>156733994742</v>
      </c>
      <c r="D79" s="1273">
        <v>168550212943</v>
      </c>
      <c r="E79" s="1274">
        <f t="shared" si="3"/>
        <v>-11816218201</v>
      </c>
      <c r="F79" s="1555">
        <f t="shared" si="4"/>
        <v>-7.0105032765493971E-2</v>
      </c>
      <c r="G79" s="1934"/>
      <c r="H79" s="1559">
        <f t="shared" si="6"/>
        <v>7.2465137252400169E-2</v>
      </c>
      <c r="I79" s="1278"/>
      <c r="J79" s="1279"/>
      <c r="K79" s="1275"/>
      <c r="L79" s="1286"/>
      <c r="M79" s="1281"/>
      <c r="N79" s="1282"/>
      <c r="O79" s="1283"/>
      <c r="P79" s="1284" t="s">
        <v>1353</v>
      </c>
      <c r="Q79" s="1282" t="s">
        <v>1353</v>
      </c>
      <c r="R79" s="1282" t="s">
        <v>1353</v>
      </c>
      <c r="S79" s="1585" t="s">
        <v>1900</v>
      </c>
    </row>
    <row r="80" spans="1:19" s="1285" customFormat="1" ht="12" customHeight="1" x14ac:dyDescent="0.2">
      <c r="A80" s="1568">
        <v>5120</v>
      </c>
      <c r="B80" s="1569" t="s">
        <v>1827</v>
      </c>
      <c r="C80" s="1273">
        <v>312443868</v>
      </c>
      <c r="D80" s="1273">
        <v>397159861</v>
      </c>
      <c r="E80" s="1274">
        <f t="shared" si="3"/>
        <v>-84715993</v>
      </c>
      <c r="F80" s="1555">
        <f t="shared" si="4"/>
        <v>-0.21330451870613379</v>
      </c>
      <c r="G80" s="1934"/>
      <c r="H80" s="1559">
        <f t="shared" si="6"/>
        <v>1.444567773287515E-4</v>
      </c>
      <c r="I80" s="1278"/>
      <c r="J80" s="1279"/>
      <c r="K80" s="1275"/>
      <c r="L80" s="1286"/>
      <c r="M80" s="1281"/>
      <c r="N80" s="1282"/>
      <c r="O80" s="1283"/>
      <c r="P80" s="1284" t="s">
        <v>1353</v>
      </c>
      <c r="Q80" s="1282" t="s">
        <v>1353</v>
      </c>
      <c r="R80" s="1282" t="s">
        <v>1353</v>
      </c>
      <c r="S80" s="1585" t="s">
        <v>1900</v>
      </c>
    </row>
    <row r="81" spans="1:19" s="1285" customFormat="1" ht="12" customHeight="1" x14ac:dyDescent="0.2">
      <c r="A81" s="1570">
        <v>5347</v>
      </c>
      <c r="B81" s="1569" t="s">
        <v>1828</v>
      </c>
      <c r="C81" s="1273">
        <v>0</v>
      </c>
      <c r="D81" s="1273">
        <v>0</v>
      </c>
      <c r="E81" s="1274">
        <f t="shared" si="3"/>
        <v>0</v>
      </c>
      <c r="F81" s="1555" t="s">
        <v>1846</v>
      </c>
      <c r="G81" s="1934"/>
      <c r="H81" s="1559">
        <f t="shared" si="6"/>
        <v>0</v>
      </c>
      <c r="I81" s="1278"/>
      <c r="J81" s="1279"/>
      <c r="K81" s="1275"/>
      <c r="L81" s="1286"/>
      <c r="M81" s="1281"/>
      <c r="N81" s="1282"/>
      <c r="O81" s="1283"/>
      <c r="P81" s="1284" t="s">
        <v>1353</v>
      </c>
      <c r="Q81" s="1282" t="s">
        <v>1353</v>
      </c>
      <c r="R81" s="1282" t="s">
        <v>1353</v>
      </c>
      <c r="S81" s="1585" t="s">
        <v>1900</v>
      </c>
    </row>
    <row r="82" spans="1:19" s="1285" customFormat="1" ht="12" customHeight="1" x14ac:dyDescent="0.2">
      <c r="A82" s="1570">
        <v>5350</v>
      </c>
      <c r="B82" s="1569" t="s">
        <v>1829</v>
      </c>
      <c r="C82" s="1273">
        <v>0</v>
      </c>
      <c r="D82" s="1273">
        <v>0</v>
      </c>
      <c r="E82" s="1274">
        <f t="shared" si="3"/>
        <v>0</v>
      </c>
      <c r="F82" s="1555" t="s">
        <v>1846</v>
      </c>
      <c r="G82" s="1934"/>
      <c r="H82" s="1559">
        <f t="shared" si="6"/>
        <v>0</v>
      </c>
      <c r="I82" s="1278"/>
      <c r="J82" s="1279"/>
      <c r="K82" s="1275"/>
      <c r="L82" s="1286"/>
      <c r="M82" s="1281"/>
      <c r="N82" s="1282"/>
      <c r="O82" s="1283"/>
      <c r="P82" s="1284" t="s">
        <v>1353</v>
      </c>
      <c r="Q82" s="1282" t="s">
        <v>1353</v>
      </c>
      <c r="R82" s="1282" t="s">
        <v>1353</v>
      </c>
      <c r="S82" s="1585" t="s">
        <v>1900</v>
      </c>
    </row>
    <row r="83" spans="1:19" s="1285" customFormat="1" ht="12" customHeight="1" x14ac:dyDescent="0.2">
      <c r="A83" s="1570">
        <v>5351</v>
      </c>
      <c r="B83" s="1569" t="s">
        <v>1830</v>
      </c>
      <c r="C83" s="1273">
        <v>0</v>
      </c>
      <c r="D83" s="1273">
        <v>0</v>
      </c>
      <c r="E83" s="1274">
        <f t="shared" si="3"/>
        <v>0</v>
      </c>
      <c r="F83" s="1555" t="s">
        <v>1846</v>
      </c>
      <c r="G83" s="1934"/>
      <c r="H83" s="1559">
        <f t="shared" si="6"/>
        <v>0</v>
      </c>
      <c r="I83" s="1278"/>
      <c r="J83" s="1279"/>
      <c r="K83" s="1275"/>
      <c r="L83" s="1286"/>
      <c r="M83" s="1281"/>
      <c r="N83" s="1282"/>
      <c r="O83" s="1283"/>
      <c r="P83" s="1284" t="s">
        <v>1353</v>
      </c>
      <c r="Q83" s="1282" t="s">
        <v>1353</v>
      </c>
      <c r="R83" s="1282" t="s">
        <v>1353</v>
      </c>
      <c r="S83" s="1585" t="s">
        <v>1900</v>
      </c>
    </row>
    <row r="84" spans="1:19" s="1285" customFormat="1" ht="12" customHeight="1" x14ac:dyDescent="0.2">
      <c r="A84" s="1568">
        <v>5360</v>
      </c>
      <c r="B84" s="1569" t="s">
        <v>1831</v>
      </c>
      <c r="C84" s="1273">
        <v>3111820883</v>
      </c>
      <c r="D84" s="1273">
        <v>2932613701</v>
      </c>
      <c r="E84" s="1274">
        <f t="shared" si="3"/>
        <v>179207182</v>
      </c>
      <c r="F84" s="1555">
        <f t="shared" ref="F84:F99" si="7">+(C84-D84)/D84</f>
        <v>6.1108349162691172E-2</v>
      </c>
      <c r="G84" s="1934"/>
      <c r="H84" s="1559">
        <f t="shared" si="6"/>
        <v>1.4387340012782387E-3</v>
      </c>
      <c r="I84" s="1278"/>
      <c r="J84" s="1279"/>
      <c r="K84" s="1275"/>
      <c r="L84" s="1286"/>
      <c r="M84" s="1281"/>
      <c r="N84" s="1282"/>
      <c r="O84" s="1283"/>
      <c r="P84" s="1284" t="s">
        <v>1353</v>
      </c>
      <c r="Q84" s="1282" t="s">
        <v>1353</v>
      </c>
      <c r="R84" s="1282" t="s">
        <v>1353</v>
      </c>
      <c r="S84" s="1585" t="s">
        <v>1900</v>
      </c>
    </row>
    <row r="85" spans="1:19" s="1285" customFormat="1" ht="12" customHeight="1" x14ac:dyDescent="0.2">
      <c r="A85" s="1568">
        <v>5364</v>
      </c>
      <c r="B85" s="1569" t="s">
        <v>1832</v>
      </c>
      <c r="C85" s="1273">
        <v>184525604198</v>
      </c>
      <c r="D85" s="1273">
        <v>164115462473</v>
      </c>
      <c r="E85" s="1274">
        <f t="shared" si="3"/>
        <v>20410141725</v>
      </c>
      <c r="F85" s="1555">
        <f t="shared" si="7"/>
        <v>0.12436452615400478</v>
      </c>
      <c r="G85" s="1934"/>
      <c r="H85" s="1559">
        <f t="shared" si="6"/>
        <v>8.5314441559415782E-2</v>
      </c>
      <c r="I85" s="1278"/>
      <c r="J85" s="1279"/>
      <c r="K85" s="1275"/>
      <c r="L85" s="1286"/>
      <c r="M85" s="1281"/>
      <c r="N85" s="1282"/>
      <c r="O85" s="1283"/>
      <c r="P85" s="1284" t="s">
        <v>1353</v>
      </c>
      <c r="Q85" s="1282" t="s">
        <v>1353</v>
      </c>
      <c r="R85" s="1282" t="s">
        <v>1353</v>
      </c>
      <c r="S85" s="1585" t="s">
        <v>1900</v>
      </c>
    </row>
    <row r="86" spans="1:19" s="1285" customFormat="1" ht="12" customHeight="1" x14ac:dyDescent="0.2">
      <c r="A86" s="1568">
        <v>5366</v>
      </c>
      <c r="B86" s="1569" t="s">
        <v>1833</v>
      </c>
      <c r="C86" s="1273">
        <v>1250125330</v>
      </c>
      <c r="D86" s="1273">
        <v>637231727</v>
      </c>
      <c r="E86" s="1274">
        <f t="shared" si="3"/>
        <v>612893603</v>
      </c>
      <c r="F86" s="1555">
        <f t="shared" si="7"/>
        <v>0.96180647797531904</v>
      </c>
      <c r="G86" s="1934"/>
      <c r="H86" s="1559">
        <f t="shared" si="6"/>
        <v>5.7798886431927661E-4</v>
      </c>
      <c r="I86" s="1278"/>
      <c r="J86" s="1279"/>
      <c r="K86" s="1275"/>
      <c r="L86" s="1286"/>
      <c r="M86" s="1281"/>
      <c r="N86" s="1282"/>
      <c r="O86" s="1283"/>
      <c r="P86" s="1284" t="s">
        <v>1353</v>
      </c>
      <c r="Q86" s="1282" t="s">
        <v>1353</v>
      </c>
      <c r="R86" s="1282" t="s">
        <v>1353</v>
      </c>
      <c r="S86" s="1585" t="s">
        <v>1900</v>
      </c>
    </row>
    <row r="87" spans="1:19" s="1285" customFormat="1" ht="12" customHeight="1" x14ac:dyDescent="0.2">
      <c r="A87" s="1570">
        <v>5368</v>
      </c>
      <c r="B87" s="1569" t="s">
        <v>1834</v>
      </c>
      <c r="C87" s="1273">
        <v>10057324111</v>
      </c>
      <c r="D87" s="1273">
        <v>11470385455</v>
      </c>
      <c r="E87" s="1274">
        <f t="shared" si="3"/>
        <v>-1413061344</v>
      </c>
      <c r="F87" s="1555">
        <f t="shared" si="7"/>
        <v>-0.12319214114849465</v>
      </c>
      <c r="G87" s="1934"/>
      <c r="H87" s="1559">
        <f t="shared" si="6"/>
        <v>4.6499508501341774E-3</v>
      </c>
      <c r="I87" s="1278"/>
      <c r="J87" s="1279"/>
      <c r="K87" s="1275"/>
      <c r="L87" s="1286"/>
      <c r="M87" s="1281"/>
      <c r="N87" s="1282"/>
      <c r="O87" s="1283"/>
      <c r="P87" s="1284" t="s">
        <v>1353</v>
      </c>
      <c r="Q87" s="1282" t="s">
        <v>1353</v>
      </c>
      <c r="R87" s="1282" t="s">
        <v>1353</v>
      </c>
      <c r="S87" s="1585" t="s">
        <v>1900</v>
      </c>
    </row>
    <row r="88" spans="1:19" s="1285" customFormat="1" ht="12" customHeight="1" x14ac:dyDescent="0.2">
      <c r="A88" s="1568">
        <v>5423</v>
      </c>
      <c r="B88" s="1569" t="s">
        <v>1819</v>
      </c>
      <c r="C88" s="1273">
        <v>1000793391</v>
      </c>
      <c r="D88" s="1273">
        <v>2354309553</v>
      </c>
      <c r="E88" s="1274">
        <f t="shared" si="3"/>
        <v>-1353516162</v>
      </c>
      <c r="F88" s="1555">
        <f t="shared" si="7"/>
        <v>-0.57491002416197556</v>
      </c>
      <c r="G88" s="1934"/>
      <c r="H88" s="1559">
        <f t="shared" si="6"/>
        <v>4.6271155507450425E-4</v>
      </c>
      <c r="I88" s="1278"/>
      <c r="J88" s="1279"/>
      <c r="K88" s="1275"/>
      <c r="L88" s="1286"/>
      <c r="M88" s="1281"/>
      <c r="N88" s="1282"/>
      <c r="O88" s="1283"/>
      <c r="P88" s="1284" t="s">
        <v>1353</v>
      </c>
      <c r="Q88" s="1282" t="s">
        <v>1353</v>
      </c>
      <c r="R88" s="1282" t="s">
        <v>1353</v>
      </c>
      <c r="S88" s="1585" t="s">
        <v>1900</v>
      </c>
    </row>
    <row r="89" spans="1:19" s="1285" customFormat="1" ht="12" customHeight="1" x14ac:dyDescent="0.2">
      <c r="A89" s="1568">
        <v>5424</v>
      </c>
      <c r="B89" s="1569" t="s">
        <v>1835</v>
      </c>
      <c r="C89" s="1273">
        <v>0</v>
      </c>
      <c r="D89" s="1273">
        <v>2965723707</v>
      </c>
      <c r="E89" s="1274">
        <f t="shared" si="3"/>
        <v>-2965723707</v>
      </c>
      <c r="F89" s="1555">
        <f t="shared" si="7"/>
        <v>-1</v>
      </c>
      <c r="G89" s="1934"/>
      <c r="H89" s="1559">
        <f t="shared" si="6"/>
        <v>0</v>
      </c>
      <c r="I89" s="1278"/>
      <c r="J89" s="1279"/>
      <c r="K89" s="1275"/>
      <c r="L89" s="1286"/>
      <c r="M89" s="1281"/>
      <c r="N89" s="1282"/>
      <c r="O89" s="1283"/>
      <c r="P89" s="1284" t="s">
        <v>1353</v>
      </c>
      <c r="Q89" s="1282" t="s">
        <v>1353</v>
      </c>
      <c r="R89" s="1282" t="s">
        <v>1353</v>
      </c>
      <c r="S89" s="1585" t="s">
        <v>1900</v>
      </c>
    </row>
    <row r="90" spans="1:19" s="1285" customFormat="1" ht="12" customHeight="1" x14ac:dyDescent="0.2">
      <c r="A90" s="1568">
        <v>5720</v>
      </c>
      <c r="B90" s="1571" t="s">
        <v>1836</v>
      </c>
      <c r="C90" s="1273">
        <v>6137764575</v>
      </c>
      <c r="D90" s="1273">
        <v>4185488843</v>
      </c>
      <c r="E90" s="1274">
        <f t="shared" si="3"/>
        <v>1952275732</v>
      </c>
      <c r="F90" s="1555">
        <f t="shared" si="7"/>
        <v>0.46643911983305697</v>
      </c>
      <c r="G90" s="1934"/>
      <c r="H90" s="1559">
        <f t="shared" si="6"/>
        <v>2.8377631354476575E-3</v>
      </c>
      <c r="I90" s="1278"/>
      <c r="J90" s="1279"/>
      <c r="K90" s="1275"/>
      <c r="L90" s="1286"/>
      <c r="M90" s="1281"/>
      <c r="N90" s="1282"/>
      <c r="O90" s="1283"/>
      <c r="P90" s="1284" t="s">
        <v>1353</v>
      </c>
      <c r="Q90" s="1282" t="s">
        <v>1353</v>
      </c>
      <c r="R90" s="1282" t="s">
        <v>1353</v>
      </c>
      <c r="S90" s="1585" t="s">
        <v>1900</v>
      </c>
    </row>
    <row r="91" spans="1:19" s="1285" customFormat="1" ht="12" customHeight="1" x14ac:dyDescent="0.2">
      <c r="A91" s="1568">
        <v>5722</v>
      </c>
      <c r="B91" s="1569" t="s">
        <v>1837</v>
      </c>
      <c r="C91" s="1273">
        <v>0</v>
      </c>
      <c r="D91" s="1273">
        <v>5330221071</v>
      </c>
      <c r="E91" s="1274">
        <f t="shared" si="3"/>
        <v>-5330221071</v>
      </c>
      <c r="F91" s="1555">
        <f t="shared" si="7"/>
        <v>-1</v>
      </c>
      <c r="G91" s="1935"/>
      <c r="H91" s="1559">
        <f t="shared" si="6"/>
        <v>0</v>
      </c>
      <c r="I91" s="1278"/>
      <c r="J91" s="1279"/>
      <c r="K91" s="1275"/>
      <c r="L91" s="1286"/>
      <c r="M91" s="1281"/>
      <c r="N91" s="1282"/>
      <c r="O91" s="1283"/>
      <c r="P91" s="1284" t="s">
        <v>1353</v>
      </c>
      <c r="Q91" s="1282" t="s">
        <v>1353</v>
      </c>
      <c r="R91" s="1282" t="s">
        <v>1353</v>
      </c>
      <c r="S91" s="1585" t="s">
        <v>1900</v>
      </c>
    </row>
    <row r="92" spans="1:19" s="1285" customFormat="1" ht="12" customHeight="1" x14ac:dyDescent="0.2">
      <c r="A92" s="1568">
        <v>4802</v>
      </c>
      <c r="B92" s="1569" t="s">
        <v>1838</v>
      </c>
      <c r="C92" s="1273">
        <v>95961802033</v>
      </c>
      <c r="D92" s="1273">
        <v>169799792552</v>
      </c>
      <c r="E92" s="1274">
        <f t="shared" si="3"/>
        <v>-73837990519</v>
      </c>
      <c r="F92" s="1555">
        <f t="shared" si="7"/>
        <v>-0.43485324339479176</v>
      </c>
      <c r="G92" s="1933" t="s">
        <v>1853</v>
      </c>
      <c r="H92" s="1559">
        <f t="shared" si="6"/>
        <v>4.4367433923673018E-2</v>
      </c>
      <c r="I92" s="1278"/>
      <c r="J92" s="1279"/>
      <c r="K92" s="1275"/>
      <c r="L92" s="1286"/>
      <c r="M92" s="1281"/>
      <c r="N92" s="1282"/>
      <c r="O92" s="1283"/>
      <c r="P92" s="1284" t="s">
        <v>1353</v>
      </c>
      <c r="Q92" s="1282" t="s">
        <v>1353</v>
      </c>
      <c r="R92" s="1282" t="s">
        <v>1353</v>
      </c>
      <c r="S92" s="1585" t="s">
        <v>1900</v>
      </c>
    </row>
    <row r="93" spans="1:19" s="1285" customFormat="1" ht="12" customHeight="1" x14ac:dyDescent="0.2">
      <c r="A93" s="1568">
        <v>4808</v>
      </c>
      <c r="B93" s="1569" t="s">
        <v>1839</v>
      </c>
      <c r="C93" s="1273">
        <v>33581700699</v>
      </c>
      <c r="D93" s="1273">
        <v>17665386482</v>
      </c>
      <c r="E93" s="1274">
        <f t="shared" si="3"/>
        <v>15916314217</v>
      </c>
      <c r="F93" s="1555">
        <f t="shared" si="7"/>
        <v>0.90098873484697306</v>
      </c>
      <c r="G93" s="1934"/>
      <c r="H93" s="1559">
        <f t="shared" si="6"/>
        <v>1.552632250793996E-2</v>
      </c>
      <c r="I93" s="1288"/>
      <c r="J93" s="1275"/>
      <c r="K93" s="1280"/>
      <c r="L93" s="1281"/>
      <c r="M93" s="1281"/>
      <c r="N93" s="1283"/>
      <c r="O93" s="1288"/>
      <c r="P93" s="1284" t="s">
        <v>1353</v>
      </c>
      <c r="Q93" s="1283" t="s">
        <v>1353</v>
      </c>
      <c r="R93" s="1283" t="s">
        <v>1353</v>
      </c>
      <c r="S93" s="1585" t="s">
        <v>1900</v>
      </c>
    </row>
    <row r="94" spans="1:19" s="1285" customFormat="1" ht="12" customHeight="1" x14ac:dyDescent="0.2">
      <c r="A94" s="1568">
        <v>4830</v>
      </c>
      <c r="B94" s="1569" t="s">
        <v>1840</v>
      </c>
      <c r="C94" s="1273">
        <v>213803784</v>
      </c>
      <c r="D94" s="1273">
        <v>2377653063</v>
      </c>
      <c r="E94" s="1274">
        <f t="shared" si="3"/>
        <v>-2163849279</v>
      </c>
      <c r="F94" s="1555">
        <f t="shared" si="7"/>
        <v>-0.91007780431589402</v>
      </c>
      <c r="G94" s="1934"/>
      <c r="H94" s="1559">
        <f t="shared" si="6"/>
        <v>9.8851053838997028E-5</v>
      </c>
      <c r="I94" s="1288"/>
      <c r="J94" s="1275"/>
      <c r="K94" s="1280"/>
      <c r="L94" s="1288"/>
      <c r="M94" s="1288"/>
      <c r="N94" s="1284"/>
      <c r="O94" s="1288"/>
      <c r="P94" s="1284" t="s">
        <v>1353</v>
      </c>
      <c r="Q94" s="1284" t="s">
        <v>1353</v>
      </c>
      <c r="R94" s="1284" t="s">
        <v>1353</v>
      </c>
      <c r="S94" s="1585" t="s">
        <v>1900</v>
      </c>
    </row>
    <row r="95" spans="1:19" s="1285" customFormat="1" ht="12" customHeight="1" x14ac:dyDescent="0.2">
      <c r="A95" s="1568">
        <v>4831</v>
      </c>
      <c r="B95" s="1569" t="s">
        <v>1841</v>
      </c>
      <c r="C95" s="1273">
        <v>9564885441</v>
      </c>
      <c r="D95" s="1273">
        <v>7689061625</v>
      </c>
      <c r="E95" s="1274">
        <f t="shared" si="3"/>
        <v>1875823816</v>
      </c>
      <c r="F95" s="1555">
        <f t="shared" si="7"/>
        <v>0.24396004447421762</v>
      </c>
      <c r="G95" s="1935"/>
      <c r="H95" s="1559">
        <f t="shared" si="6"/>
        <v>4.4222744237872322E-3</v>
      </c>
      <c r="I95" s="1288"/>
      <c r="J95" s="1275"/>
      <c r="K95" s="1280"/>
      <c r="L95" s="1288"/>
      <c r="M95" s="1288"/>
      <c r="N95" s="1289"/>
      <c r="O95" s="1288"/>
      <c r="P95" s="1284" t="s">
        <v>1353</v>
      </c>
      <c r="Q95" s="1289" t="s">
        <v>1353</v>
      </c>
      <c r="R95" s="1289" t="s">
        <v>1353</v>
      </c>
      <c r="S95" s="1585" t="s">
        <v>1900</v>
      </c>
    </row>
    <row r="96" spans="1:19" s="1285" customFormat="1" ht="12" customHeight="1" x14ac:dyDescent="0.2">
      <c r="A96" s="1568">
        <v>5802</v>
      </c>
      <c r="B96" s="1569" t="s">
        <v>1842</v>
      </c>
      <c r="C96" s="1273">
        <v>1004676</v>
      </c>
      <c r="D96" s="1273">
        <v>1068385</v>
      </c>
      <c r="E96" s="1274">
        <f t="shared" si="3"/>
        <v>-63709</v>
      </c>
      <c r="F96" s="1555">
        <f t="shared" si="7"/>
        <v>-5.9631125483790959E-2</v>
      </c>
      <c r="G96" s="1933" t="s">
        <v>1854</v>
      </c>
      <c r="H96" s="1559">
        <f t="shared" si="6"/>
        <v>4.6450665890341858E-7</v>
      </c>
      <c r="I96" s="1288"/>
      <c r="J96" s="1275"/>
      <c r="K96" s="1280"/>
      <c r="L96" s="1288"/>
      <c r="M96" s="1288"/>
      <c r="N96" s="1284"/>
      <c r="O96" s="1289"/>
      <c r="P96" s="1284" t="s">
        <v>1353</v>
      </c>
      <c r="Q96" s="1284" t="s">
        <v>1353</v>
      </c>
      <c r="R96" s="1284" t="s">
        <v>1353</v>
      </c>
      <c r="S96" s="1585" t="s">
        <v>1900</v>
      </c>
    </row>
    <row r="97" spans="1:19" s="1285" customFormat="1" ht="12" customHeight="1" x14ac:dyDescent="0.2">
      <c r="A97" s="1568">
        <v>5804</v>
      </c>
      <c r="B97" s="1569" t="s">
        <v>1838</v>
      </c>
      <c r="C97" s="1273">
        <v>1284107284</v>
      </c>
      <c r="D97" s="1273">
        <v>9074869233</v>
      </c>
      <c r="E97" s="1274">
        <f t="shared" si="3"/>
        <v>-7790761949</v>
      </c>
      <c r="F97" s="1555">
        <f t="shared" si="7"/>
        <v>-0.85849853578821256</v>
      </c>
      <c r="G97" s="1934"/>
      <c r="H97" s="1559">
        <f t="shared" si="6"/>
        <v>5.9370024183356951E-4</v>
      </c>
      <c r="I97" s="1288"/>
      <c r="J97" s="1275"/>
      <c r="K97" s="1280"/>
      <c r="L97" s="1288"/>
      <c r="M97" s="1288"/>
      <c r="N97" s="1284"/>
      <c r="O97" s="1288"/>
      <c r="P97" s="1284" t="s">
        <v>1353</v>
      </c>
      <c r="Q97" s="1284" t="s">
        <v>1353</v>
      </c>
      <c r="R97" s="1284" t="s">
        <v>1353</v>
      </c>
      <c r="S97" s="1585" t="s">
        <v>1900</v>
      </c>
    </row>
    <row r="98" spans="1:19" s="1285" customFormat="1" ht="12" customHeight="1" x14ac:dyDescent="0.2">
      <c r="A98" s="1568">
        <v>5890</v>
      </c>
      <c r="B98" s="1569" t="s">
        <v>1843</v>
      </c>
      <c r="C98" s="1273">
        <v>2024186227</v>
      </c>
      <c r="D98" s="1273">
        <v>7355199899</v>
      </c>
      <c r="E98" s="1274">
        <f t="shared" si="3"/>
        <v>-5331013672</v>
      </c>
      <c r="F98" s="1555">
        <f t="shared" si="7"/>
        <v>-0.72479521225858123</v>
      </c>
      <c r="G98" s="1934"/>
      <c r="H98" s="1559">
        <f t="shared" si="6"/>
        <v>9.3587184455693861E-4</v>
      </c>
      <c r="I98" s="1288"/>
      <c r="J98" s="1275"/>
      <c r="K98" s="1280"/>
      <c r="L98" s="1288"/>
      <c r="M98" s="1288"/>
      <c r="N98" s="1284"/>
      <c r="O98" s="1288"/>
      <c r="P98" s="1284" t="s">
        <v>1353</v>
      </c>
      <c r="Q98" s="1284" t="s">
        <v>1353</v>
      </c>
      <c r="R98" s="1284" t="s">
        <v>1353</v>
      </c>
      <c r="S98" s="1585" t="s">
        <v>1900</v>
      </c>
    </row>
    <row r="99" spans="1:19" s="1285" customFormat="1" ht="12" customHeight="1" x14ac:dyDescent="0.2">
      <c r="A99" s="1570">
        <v>5893</v>
      </c>
      <c r="B99" s="1569" t="s">
        <v>1844</v>
      </c>
      <c r="C99" s="1273">
        <v>852515177</v>
      </c>
      <c r="D99" s="1273">
        <v>5791827358</v>
      </c>
      <c r="E99" s="1274">
        <f t="shared" si="3"/>
        <v>-4939312181</v>
      </c>
      <c r="F99" s="1555">
        <f t="shared" si="7"/>
        <v>-0.85280721880936972</v>
      </c>
      <c r="G99" s="1935"/>
      <c r="H99" s="1559">
        <f t="shared" si="6"/>
        <v>3.9415590352783039E-4</v>
      </c>
      <c r="I99" s="1288"/>
      <c r="J99" s="1275"/>
      <c r="K99" s="1280"/>
      <c r="L99" s="1288"/>
      <c r="M99" s="1288"/>
      <c r="N99" s="1284"/>
      <c r="O99" s="1288"/>
      <c r="P99" s="1284" t="s">
        <v>1353</v>
      </c>
      <c r="Q99" s="1284" t="s">
        <v>1353</v>
      </c>
      <c r="R99" s="1284" t="s">
        <v>1353</v>
      </c>
      <c r="S99" s="1585" t="s">
        <v>1900</v>
      </c>
    </row>
    <row r="100" spans="1:19" s="1285" customFormat="1" ht="12" hidden="1" customHeight="1" x14ac:dyDescent="0.2">
      <c r="A100" s="1272"/>
      <c r="B100" s="1272"/>
      <c r="C100" s="1273">
        <f>SUM(C92:C99)</f>
        <v>143484005321</v>
      </c>
      <c r="D100" s="1273"/>
      <c r="E100" s="1274"/>
      <c r="F100" s="1275"/>
      <c r="G100" s="1276"/>
      <c r="H100" s="1559">
        <f t="shared" si="6"/>
        <v>6.6339074405816448E-2</v>
      </c>
      <c r="I100" s="1288"/>
      <c r="J100" s="1275"/>
      <c r="K100" s="1280"/>
      <c r="L100" s="1288"/>
      <c r="M100" s="1288"/>
      <c r="N100" s="1284"/>
      <c r="O100" s="1288"/>
      <c r="P100" s="1288"/>
      <c r="Q100" s="1284"/>
      <c r="R100" s="1284"/>
      <c r="S100" s="1284"/>
    </row>
    <row r="101" spans="1:19" s="1285" customFormat="1" ht="11.25" hidden="1" x14ac:dyDescent="0.2">
      <c r="A101" s="1272"/>
      <c r="B101" s="1272"/>
      <c r="C101" s="1273">
        <f>+SUM(C70:C73)</f>
        <v>2019404256328</v>
      </c>
      <c r="D101" s="1273"/>
      <c r="E101" s="1274"/>
      <c r="F101" s="1275"/>
      <c r="G101" s="1276"/>
      <c r="H101" s="1559">
        <f t="shared" si="6"/>
        <v>0.93366092559418357</v>
      </c>
      <c r="I101" s="1288"/>
      <c r="J101" s="1275"/>
      <c r="K101" s="1280"/>
      <c r="L101" s="1288"/>
      <c r="M101" s="1288"/>
      <c r="N101" s="1284"/>
      <c r="O101" s="1288"/>
      <c r="P101" s="1288"/>
      <c r="Q101" s="1284"/>
      <c r="R101" s="1284"/>
      <c r="S101" s="1284"/>
    </row>
    <row r="102" spans="1:19" s="1285" customFormat="1" ht="11.25" hidden="1" x14ac:dyDescent="0.2">
      <c r="A102" s="1272"/>
      <c r="B102" s="1272" t="s">
        <v>1839</v>
      </c>
      <c r="C102" s="1273">
        <f>+C101+C100</f>
        <v>2162888261649</v>
      </c>
      <c r="D102" s="1273"/>
      <c r="E102" s="1274"/>
      <c r="F102" s="1275"/>
      <c r="G102" s="1276"/>
      <c r="H102" s="1559">
        <f t="shared" si="6"/>
        <v>1</v>
      </c>
      <c r="I102" s="1288"/>
      <c r="J102" s="1275"/>
      <c r="K102" s="1280"/>
      <c r="L102" s="1288"/>
      <c r="M102" s="1288"/>
      <c r="N102" s="1284"/>
      <c r="O102" s="1288"/>
      <c r="P102" s="1288"/>
      <c r="Q102" s="1284"/>
      <c r="R102" s="1284"/>
      <c r="S102" s="1284"/>
    </row>
    <row r="103" spans="1:19" s="1285" customFormat="1" ht="12" hidden="1" customHeight="1" x14ac:dyDescent="0.2">
      <c r="A103" s="1566"/>
      <c r="B103" s="1567" t="s">
        <v>1765</v>
      </c>
      <c r="C103" s="1273">
        <v>454486780672</v>
      </c>
      <c r="D103" s="1273"/>
      <c r="E103" s="1274"/>
      <c r="F103" s="1275"/>
      <c r="G103" s="1276"/>
      <c r="H103" s="1277"/>
      <c r="I103" s="1288"/>
      <c r="J103" s="1275"/>
      <c r="K103" s="1280"/>
      <c r="L103" s="1288"/>
      <c r="M103" s="1288"/>
      <c r="N103" s="1284"/>
      <c r="O103" s="1288"/>
      <c r="P103" s="1288"/>
      <c r="Q103" s="1284"/>
      <c r="R103" s="1284"/>
      <c r="S103" s="1284"/>
    </row>
    <row r="104" spans="1:19" s="51" customFormat="1" x14ac:dyDescent="0.2">
      <c r="B104" s="1563"/>
      <c r="C104" s="1290"/>
      <c r="D104" s="1290"/>
    </row>
    <row r="105" spans="1:19" s="51" customFormat="1" x14ac:dyDescent="0.2">
      <c r="C105" s="1290"/>
      <c r="D105" s="1290"/>
    </row>
    <row r="106" spans="1:19" s="51" customFormat="1" ht="14.25" customHeight="1" x14ac:dyDescent="0.2">
      <c r="B106" s="1886" t="s">
        <v>670</v>
      </c>
      <c r="C106" s="1888"/>
      <c r="D106" s="1889"/>
      <c r="E106" s="1889"/>
      <c r="F106" s="1890"/>
      <c r="G106" s="1268"/>
    </row>
    <row r="107" spans="1:19" s="51" customFormat="1" ht="14.25" customHeight="1" x14ac:dyDescent="0.2">
      <c r="B107" s="1887"/>
      <c r="C107" s="1891"/>
      <c r="D107" s="1892"/>
      <c r="E107" s="1892"/>
      <c r="F107" s="1893"/>
      <c r="G107" s="1268"/>
    </row>
    <row r="108" spans="1:19" s="51" customFormat="1" ht="15" thickBot="1" x14ac:dyDescent="0.25"/>
    <row r="109" spans="1:19" s="51" customFormat="1" ht="15" thickBot="1" x14ac:dyDescent="0.25">
      <c r="B109" s="1894" t="s">
        <v>671</v>
      </c>
      <c r="C109" s="1897" t="s">
        <v>1866</v>
      </c>
      <c r="D109" s="1898"/>
      <c r="E109" s="1898"/>
      <c r="F109" s="1899"/>
      <c r="G109" s="1269"/>
      <c r="H109" s="1269"/>
      <c r="I109" s="1269"/>
      <c r="J109" s="1269"/>
      <c r="K109" s="1269"/>
      <c r="L109" s="1269"/>
      <c r="M109" s="1269"/>
      <c r="N109" s="1269"/>
      <c r="O109" s="1269"/>
      <c r="P109" s="1269"/>
      <c r="Q109" s="1269"/>
      <c r="R109" s="1269"/>
      <c r="S109" s="1269"/>
    </row>
    <row r="110" spans="1:19" s="51" customFormat="1" ht="15" thickBot="1" x14ac:dyDescent="0.25">
      <c r="B110" s="1895"/>
      <c r="C110" s="1897"/>
      <c r="D110" s="1898"/>
      <c r="E110" s="1898"/>
      <c r="F110" s="1899"/>
      <c r="G110" s="310"/>
      <c r="H110" s="310"/>
      <c r="I110" s="310"/>
      <c r="J110" s="310"/>
      <c r="K110" s="310"/>
      <c r="L110" s="310"/>
      <c r="M110" s="310"/>
      <c r="N110" s="310"/>
      <c r="O110" s="310"/>
      <c r="P110" s="310"/>
      <c r="Q110" s="310"/>
      <c r="R110" s="310"/>
      <c r="S110" s="310"/>
    </row>
    <row r="111" spans="1:19" s="51" customFormat="1" ht="15" thickBot="1" x14ac:dyDescent="0.25">
      <c r="B111" s="1896"/>
      <c r="C111" s="1897"/>
      <c r="D111" s="1898"/>
      <c r="E111" s="1898"/>
      <c r="F111" s="1899"/>
      <c r="G111" s="310"/>
      <c r="H111" s="310"/>
      <c r="I111" s="310"/>
      <c r="J111" s="310"/>
      <c r="K111" s="310"/>
      <c r="L111" s="310"/>
      <c r="M111" s="310"/>
      <c r="N111" s="310"/>
      <c r="O111" s="310"/>
      <c r="P111" s="310"/>
      <c r="Q111" s="310"/>
      <c r="R111" s="310"/>
      <c r="S111" s="310"/>
    </row>
    <row r="112" spans="1:19" s="51" customFormat="1" ht="15" thickBot="1" x14ac:dyDescent="0.25">
      <c r="B112" s="1270" t="s">
        <v>672</v>
      </c>
      <c r="C112" s="1897" t="s">
        <v>1865</v>
      </c>
      <c r="D112" s="1898"/>
      <c r="E112" s="1898"/>
      <c r="F112" s="1899"/>
      <c r="G112" s="310"/>
      <c r="H112" s="310"/>
      <c r="I112" s="310"/>
      <c r="J112" s="310"/>
      <c r="K112" s="310"/>
      <c r="L112" s="310"/>
      <c r="M112" s="310"/>
      <c r="N112" s="310"/>
      <c r="O112" s="310"/>
      <c r="P112" s="310"/>
      <c r="Q112" s="310"/>
      <c r="R112" s="310"/>
      <c r="S112" s="310"/>
    </row>
    <row r="113" spans="2:2" s="51" customFormat="1" x14ac:dyDescent="0.2"/>
    <row r="114" spans="2:2" s="51" customFormat="1" ht="15" x14ac:dyDescent="0.25">
      <c r="B114" s="51" t="s">
        <v>673</v>
      </c>
    </row>
    <row r="115" spans="2:2" s="51" customFormat="1" ht="15" x14ac:dyDescent="0.25">
      <c r="B115" s="51" t="s">
        <v>674</v>
      </c>
    </row>
    <row r="116" spans="2:2" s="51" customFormat="1" ht="15" x14ac:dyDescent="0.25">
      <c r="B116" s="51" t="s">
        <v>1867</v>
      </c>
    </row>
  </sheetData>
  <sheetProtection algorithmName="SHA-512" hashValue="TkRWd1i6jh5i6tthV37T1yaalZIfVAcTZ1kAybyKqabM10tjNXXKzmsin/gQNtLnp817r+++rcVM7xQfJqkRew==" saltValue="YE0azj6yNy94z01dik4yNg==" spinCount="100000" sheet="1" formatRows="0" insertRows="0" pivotTables="0"/>
  <mergeCells count="27">
    <mergeCell ref="C112:F112"/>
    <mergeCell ref="G96:G99"/>
    <mergeCell ref="B106:B107"/>
    <mergeCell ref="C106:F107"/>
    <mergeCell ref="B109:B111"/>
    <mergeCell ref="C109:F111"/>
    <mergeCell ref="J68:R68"/>
    <mergeCell ref="G70:G73"/>
    <mergeCell ref="I72:I73"/>
    <mergeCell ref="G74:G91"/>
    <mergeCell ref="G92:G95"/>
    <mergeCell ref="C54:F54"/>
    <mergeCell ref="C63:H63"/>
    <mergeCell ref="C64:D64"/>
    <mergeCell ref="C65:D65"/>
    <mergeCell ref="A61:H61"/>
    <mergeCell ref="B1:B2"/>
    <mergeCell ref="C4:D4"/>
    <mergeCell ref="C5:H5"/>
    <mergeCell ref="C6:D6"/>
    <mergeCell ref="C7:D7"/>
    <mergeCell ref="C1:R2"/>
    <mergeCell ref="J10:R10"/>
    <mergeCell ref="B48:B49"/>
    <mergeCell ref="C48:F49"/>
    <mergeCell ref="B51:B53"/>
    <mergeCell ref="C51:F53"/>
  </mergeCells>
  <conditionalFormatting sqref="G51:S54">
    <cfRule type="cellIs" dxfId="276" priority="30" operator="equal">
      <formula>"INEXISTENTE"</formula>
    </cfRule>
  </conditionalFormatting>
  <conditionalFormatting sqref="K51:S54">
    <cfRule type="cellIs" dxfId="275" priority="31" operator="equal">
      <formula>"INEFICAZ"</formula>
    </cfRule>
    <cfRule type="cellIs" dxfId="274" priority="32" operator="equal">
      <formula>"CON DEFICIENCIAS"</formula>
    </cfRule>
    <cfRule type="cellIs" dxfId="273" priority="33" operator="equal">
      <formula>"EFICAZ"</formula>
    </cfRule>
    <cfRule type="cellIs" dxfId="272" priority="34" operator="equal">
      <formula>"CRÍTICO"</formula>
    </cfRule>
    <cfRule type="cellIs" dxfId="271" priority="35" operator="equal">
      <formula>"ALTO"</formula>
    </cfRule>
    <cfRule type="cellIs" dxfId="270" priority="36" operator="equal">
      <formula>"MEDIO"</formula>
    </cfRule>
    <cfRule type="cellIs" dxfId="269" priority="37" operator="equal">
      <formula>"BAJO"</formula>
    </cfRule>
  </conditionalFormatting>
  <conditionalFormatting sqref="G51:S54">
    <cfRule type="cellIs" dxfId="268" priority="39" operator="equal">
      <formula>"INADECUADO"</formula>
    </cfRule>
    <cfRule type="cellIs" dxfId="267" priority="40" operator="equal">
      <formula>"PARCIALMENTE ADECUADO"</formula>
    </cfRule>
    <cfRule type="cellIs" dxfId="266" priority="41" operator="equal">
      <formula>"ADECUADO"</formula>
    </cfRule>
    <cfRule type="cellIs" dxfId="265" priority="42" operator="equal">
      <formula>"ERROR"</formula>
    </cfRule>
  </conditionalFormatting>
  <conditionalFormatting sqref="C1">
    <cfRule type="cellIs" dxfId="264" priority="18" operator="equal">
      <formula>"ERROR"</formula>
    </cfRule>
  </conditionalFormatting>
  <conditionalFormatting sqref="G109:S112">
    <cfRule type="cellIs" dxfId="258" priority="6" operator="equal">
      <formula>"INEXISTENTE"</formula>
    </cfRule>
  </conditionalFormatting>
  <conditionalFormatting sqref="K109:S112">
    <cfRule type="cellIs" dxfId="257" priority="7" operator="equal">
      <formula>"INEFICAZ"</formula>
    </cfRule>
    <cfRule type="cellIs" dxfId="256" priority="8" operator="equal">
      <formula>"CON DEFICIENCIAS"</formula>
    </cfRule>
    <cfRule type="cellIs" dxfId="255" priority="9" operator="equal">
      <formula>"EFICAZ"</formula>
    </cfRule>
    <cfRule type="cellIs" dxfId="254" priority="10" operator="equal">
      <formula>"CRÍTICO"</formula>
    </cfRule>
    <cfRule type="cellIs" dxfId="253" priority="11" operator="equal">
      <formula>"ALTO"</formula>
    </cfRule>
    <cfRule type="cellIs" dxfId="252" priority="12" operator="equal">
      <formula>"MEDIO"</formula>
    </cfRule>
    <cfRule type="cellIs" dxfId="251" priority="13" operator="equal">
      <formula>"BAJO"</formula>
    </cfRule>
  </conditionalFormatting>
  <conditionalFormatting sqref="G109:S112">
    <cfRule type="cellIs" dxfId="250" priority="14" operator="equal">
      <formula>"INADECUADO"</formula>
    </cfRule>
    <cfRule type="cellIs" dxfId="249" priority="15" operator="equal">
      <formula>"PARCIALMENTE ADECUADO"</formula>
    </cfRule>
    <cfRule type="cellIs" dxfId="248" priority="16" operator="equal">
      <formula>"ADECUADO"</formula>
    </cfRule>
    <cfRule type="cellIs" dxfId="247" priority="17" operator="equal">
      <formula>"ERROR"</formula>
    </cfRule>
  </conditionalFormatting>
  <conditionalFormatting sqref="S2">
    <cfRule type="cellIs" dxfId="9" priority="2" operator="equal">
      <formula>"INADECUADO"</formula>
    </cfRule>
    <cfRule type="cellIs" dxfId="8" priority="3" operator="equal">
      <formula>"PARCIALMENTE ADECUADO"</formula>
    </cfRule>
    <cfRule type="cellIs" dxfId="7" priority="4" operator="equal">
      <formula>"ADECUADO"</formula>
    </cfRule>
    <cfRule type="cellIs" dxfId="6" priority="5" operator="equal">
      <formula>"ERROR"</formula>
    </cfRule>
  </conditionalFormatting>
  <conditionalFormatting sqref="S2">
    <cfRule type="cellIs" dxfId="1" priority="1" operator="equal">
      <formula>"INEXISTENTE"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76"/>
  <sheetViews>
    <sheetView zoomScale="85" zoomScaleNormal="85" workbookViewId="0">
      <selection activeCell="B69" sqref="B69:I69"/>
    </sheetView>
  </sheetViews>
  <sheetFormatPr baseColWidth="10" defaultColWidth="11.42578125" defaultRowHeight="12.75" x14ac:dyDescent="0.25"/>
  <cols>
    <col min="1" max="1" width="3.42578125" style="271" customWidth="1"/>
    <col min="2" max="2" width="23.7109375" style="271" customWidth="1"/>
    <col min="3" max="3" width="22.42578125" style="271" customWidth="1"/>
    <col min="4" max="4" width="29.7109375" style="271" customWidth="1"/>
    <col min="5" max="5" width="24" style="271" customWidth="1"/>
    <col min="6" max="6" width="28.42578125" style="271" customWidth="1"/>
    <col min="7" max="7" width="22.42578125" style="271" customWidth="1"/>
    <col min="8" max="8" width="18.140625" style="271" customWidth="1"/>
    <col min="9" max="9" width="18.7109375" style="271" customWidth="1"/>
    <col min="10" max="10" width="18.42578125" style="271" customWidth="1"/>
    <col min="11" max="11" width="23.42578125" style="271" customWidth="1"/>
    <col min="12" max="12" width="28.140625" style="271" customWidth="1"/>
    <col min="13" max="13" width="20.5703125" style="271" customWidth="1"/>
    <col min="14" max="15" width="27.140625" style="271" customWidth="1"/>
    <col min="16" max="16" width="20.85546875" style="271" customWidth="1"/>
    <col min="17" max="17" width="24.42578125" style="271" customWidth="1"/>
    <col min="18" max="18" width="23.140625" style="271" customWidth="1"/>
    <col min="19" max="19" width="18.28515625" style="271" customWidth="1"/>
    <col min="20" max="20" width="10.7109375" style="271" customWidth="1"/>
    <col min="21" max="21" width="18.28515625" style="271" customWidth="1"/>
    <col min="22" max="22" width="14.5703125" style="271" customWidth="1"/>
    <col min="23" max="23" width="20.28515625" style="271" customWidth="1"/>
    <col min="24" max="24" width="33.42578125" style="271" customWidth="1"/>
    <col min="25" max="256" width="11.42578125" style="271"/>
    <col min="257" max="257" width="3.42578125" style="271" customWidth="1"/>
    <col min="258" max="258" width="23.7109375" style="271" customWidth="1"/>
    <col min="259" max="259" width="22.42578125" style="271" customWidth="1"/>
    <col min="260" max="260" width="25" style="271" customWidth="1"/>
    <col min="261" max="261" width="24" style="271" customWidth="1"/>
    <col min="262" max="262" width="28.42578125" style="271" customWidth="1"/>
    <col min="263" max="263" width="20.42578125" style="271" customWidth="1"/>
    <col min="264" max="264" width="18.140625" style="271" customWidth="1"/>
    <col min="265" max="265" width="18.7109375" style="271" customWidth="1"/>
    <col min="266" max="266" width="18.42578125" style="271" customWidth="1"/>
    <col min="267" max="267" width="19.28515625" style="271" customWidth="1"/>
    <col min="268" max="268" width="23.42578125" style="271" customWidth="1"/>
    <col min="269" max="269" width="16.7109375" style="271" customWidth="1"/>
    <col min="270" max="270" width="21.7109375" style="271" customWidth="1"/>
    <col min="271" max="512" width="11.42578125" style="271"/>
    <col min="513" max="513" width="3.42578125" style="271" customWidth="1"/>
    <col min="514" max="514" width="23.7109375" style="271" customWidth="1"/>
    <col min="515" max="515" width="22.42578125" style="271" customWidth="1"/>
    <col min="516" max="516" width="25" style="271" customWidth="1"/>
    <col min="517" max="517" width="24" style="271" customWidth="1"/>
    <col min="518" max="518" width="28.42578125" style="271" customWidth="1"/>
    <col min="519" max="519" width="20.42578125" style="271" customWidth="1"/>
    <col min="520" max="520" width="18.140625" style="271" customWidth="1"/>
    <col min="521" max="521" width="18.7109375" style="271" customWidth="1"/>
    <col min="522" max="522" width="18.42578125" style="271" customWidth="1"/>
    <col min="523" max="523" width="19.28515625" style="271" customWidth="1"/>
    <col min="524" max="524" width="23.42578125" style="271" customWidth="1"/>
    <col min="525" max="525" width="16.7109375" style="271" customWidth="1"/>
    <col min="526" max="526" width="21.7109375" style="271" customWidth="1"/>
    <col min="527" max="768" width="11.42578125" style="271"/>
    <col min="769" max="769" width="3.42578125" style="271" customWidth="1"/>
    <col min="770" max="770" width="23.7109375" style="271" customWidth="1"/>
    <col min="771" max="771" width="22.42578125" style="271" customWidth="1"/>
    <col min="772" max="772" width="25" style="271" customWidth="1"/>
    <col min="773" max="773" width="24" style="271" customWidth="1"/>
    <col min="774" max="774" width="28.42578125" style="271" customWidth="1"/>
    <col min="775" max="775" width="20.42578125" style="271" customWidth="1"/>
    <col min="776" max="776" width="18.140625" style="271" customWidth="1"/>
    <col min="777" max="777" width="18.7109375" style="271" customWidth="1"/>
    <col min="778" max="778" width="18.42578125" style="271" customWidth="1"/>
    <col min="779" max="779" width="19.28515625" style="271" customWidth="1"/>
    <col min="780" max="780" width="23.42578125" style="271" customWidth="1"/>
    <col min="781" max="781" width="16.7109375" style="271" customWidth="1"/>
    <col min="782" max="782" width="21.7109375" style="271" customWidth="1"/>
    <col min="783" max="1024" width="11.42578125" style="271"/>
    <col min="1025" max="1025" width="3.42578125" style="271" customWidth="1"/>
    <col min="1026" max="1026" width="23.7109375" style="271" customWidth="1"/>
    <col min="1027" max="1027" width="22.42578125" style="271" customWidth="1"/>
    <col min="1028" max="1028" width="25" style="271" customWidth="1"/>
    <col min="1029" max="1029" width="24" style="271" customWidth="1"/>
    <col min="1030" max="1030" width="28.42578125" style="271" customWidth="1"/>
    <col min="1031" max="1031" width="20.42578125" style="271" customWidth="1"/>
    <col min="1032" max="1032" width="18.140625" style="271" customWidth="1"/>
    <col min="1033" max="1033" width="18.7109375" style="271" customWidth="1"/>
    <col min="1034" max="1034" width="18.42578125" style="271" customWidth="1"/>
    <col min="1035" max="1035" width="19.28515625" style="271" customWidth="1"/>
    <col min="1036" max="1036" width="23.42578125" style="271" customWidth="1"/>
    <col min="1037" max="1037" width="16.7109375" style="271" customWidth="1"/>
    <col min="1038" max="1038" width="21.7109375" style="271" customWidth="1"/>
    <col min="1039" max="1280" width="11.42578125" style="271"/>
    <col min="1281" max="1281" width="3.42578125" style="271" customWidth="1"/>
    <col min="1282" max="1282" width="23.7109375" style="271" customWidth="1"/>
    <col min="1283" max="1283" width="22.42578125" style="271" customWidth="1"/>
    <col min="1284" max="1284" width="25" style="271" customWidth="1"/>
    <col min="1285" max="1285" width="24" style="271" customWidth="1"/>
    <col min="1286" max="1286" width="28.42578125" style="271" customWidth="1"/>
    <col min="1287" max="1287" width="20.42578125" style="271" customWidth="1"/>
    <col min="1288" max="1288" width="18.140625" style="271" customWidth="1"/>
    <col min="1289" max="1289" width="18.7109375" style="271" customWidth="1"/>
    <col min="1290" max="1290" width="18.42578125" style="271" customWidth="1"/>
    <col min="1291" max="1291" width="19.28515625" style="271" customWidth="1"/>
    <col min="1292" max="1292" width="23.42578125" style="271" customWidth="1"/>
    <col min="1293" max="1293" width="16.7109375" style="271" customWidth="1"/>
    <col min="1294" max="1294" width="21.7109375" style="271" customWidth="1"/>
    <col min="1295" max="1536" width="11.42578125" style="271"/>
    <col min="1537" max="1537" width="3.42578125" style="271" customWidth="1"/>
    <col min="1538" max="1538" width="23.7109375" style="271" customWidth="1"/>
    <col min="1539" max="1539" width="22.42578125" style="271" customWidth="1"/>
    <col min="1540" max="1540" width="25" style="271" customWidth="1"/>
    <col min="1541" max="1541" width="24" style="271" customWidth="1"/>
    <col min="1542" max="1542" width="28.42578125" style="271" customWidth="1"/>
    <col min="1543" max="1543" width="20.42578125" style="271" customWidth="1"/>
    <col min="1544" max="1544" width="18.140625" style="271" customWidth="1"/>
    <col min="1545" max="1545" width="18.7109375" style="271" customWidth="1"/>
    <col min="1546" max="1546" width="18.42578125" style="271" customWidth="1"/>
    <col min="1547" max="1547" width="19.28515625" style="271" customWidth="1"/>
    <col min="1548" max="1548" width="23.42578125" style="271" customWidth="1"/>
    <col min="1549" max="1549" width="16.7109375" style="271" customWidth="1"/>
    <col min="1550" max="1550" width="21.7109375" style="271" customWidth="1"/>
    <col min="1551" max="1792" width="11.42578125" style="271"/>
    <col min="1793" max="1793" width="3.42578125" style="271" customWidth="1"/>
    <col min="1794" max="1794" width="23.7109375" style="271" customWidth="1"/>
    <col min="1795" max="1795" width="22.42578125" style="271" customWidth="1"/>
    <col min="1796" max="1796" width="25" style="271" customWidth="1"/>
    <col min="1797" max="1797" width="24" style="271" customWidth="1"/>
    <col min="1798" max="1798" width="28.42578125" style="271" customWidth="1"/>
    <col min="1799" max="1799" width="20.42578125" style="271" customWidth="1"/>
    <col min="1800" max="1800" width="18.140625" style="271" customWidth="1"/>
    <col min="1801" max="1801" width="18.7109375" style="271" customWidth="1"/>
    <col min="1802" max="1802" width="18.42578125" style="271" customWidth="1"/>
    <col min="1803" max="1803" width="19.28515625" style="271" customWidth="1"/>
    <col min="1804" max="1804" width="23.42578125" style="271" customWidth="1"/>
    <col min="1805" max="1805" width="16.7109375" style="271" customWidth="1"/>
    <col min="1806" max="1806" width="21.7109375" style="271" customWidth="1"/>
    <col min="1807" max="2048" width="11.42578125" style="271"/>
    <col min="2049" max="2049" width="3.42578125" style="271" customWidth="1"/>
    <col min="2050" max="2050" width="23.7109375" style="271" customWidth="1"/>
    <col min="2051" max="2051" width="22.42578125" style="271" customWidth="1"/>
    <col min="2052" max="2052" width="25" style="271" customWidth="1"/>
    <col min="2053" max="2053" width="24" style="271" customWidth="1"/>
    <col min="2054" max="2054" width="28.42578125" style="271" customWidth="1"/>
    <col min="2055" max="2055" width="20.42578125" style="271" customWidth="1"/>
    <col min="2056" max="2056" width="18.140625" style="271" customWidth="1"/>
    <col min="2057" max="2057" width="18.7109375" style="271" customWidth="1"/>
    <col min="2058" max="2058" width="18.42578125" style="271" customWidth="1"/>
    <col min="2059" max="2059" width="19.28515625" style="271" customWidth="1"/>
    <col min="2060" max="2060" width="23.42578125" style="271" customWidth="1"/>
    <col min="2061" max="2061" width="16.7109375" style="271" customWidth="1"/>
    <col min="2062" max="2062" width="21.7109375" style="271" customWidth="1"/>
    <col min="2063" max="2304" width="11.42578125" style="271"/>
    <col min="2305" max="2305" width="3.42578125" style="271" customWidth="1"/>
    <col min="2306" max="2306" width="23.7109375" style="271" customWidth="1"/>
    <col min="2307" max="2307" width="22.42578125" style="271" customWidth="1"/>
    <col min="2308" max="2308" width="25" style="271" customWidth="1"/>
    <col min="2309" max="2309" width="24" style="271" customWidth="1"/>
    <col min="2310" max="2310" width="28.42578125" style="271" customWidth="1"/>
    <col min="2311" max="2311" width="20.42578125" style="271" customWidth="1"/>
    <col min="2312" max="2312" width="18.140625" style="271" customWidth="1"/>
    <col min="2313" max="2313" width="18.7109375" style="271" customWidth="1"/>
    <col min="2314" max="2314" width="18.42578125" style="271" customWidth="1"/>
    <col min="2315" max="2315" width="19.28515625" style="271" customWidth="1"/>
    <col min="2316" max="2316" width="23.42578125" style="271" customWidth="1"/>
    <col min="2317" max="2317" width="16.7109375" style="271" customWidth="1"/>
    <col min="2318" max="2318" width="21.7109375" style="271" customWidth="1"/>
    <col min="2319" max="2560" width="11.42578125" style="271"/>
    <col min="2561" max="2561" width="3.42578125" style="271" customWidth="1"/>
    <col min="2562" max="2562" width="23.7109375" style="271" customWidth="1"/>
    <col min="2563" max="2563" width="22.42578125" style="271" customWidth="1"/>
    <col min="2564" max="2564" width="25" style="271" customWidth="1"/>
    <col min="2565" max="2565" width="24" style="271" customWidth="1"/>
    <col min="2566" max="2566" width="28.42578125" style="271" customWidth="1"/>
    <col min="2567" max="2567" width="20.42578125" style="271" customWidth="1"/>
    <col min="2568" max="2568" width="18.140625" style="271" customWidth="1"/>
    <col min="2569" max="2569" width="18.7109375" style="271" customWidth="1"/>
    <col min="2570" max="2570" width="18.42578125" style="271" customWidth="1"/>
    <col min="2571" max="2571" width="19.28515625" style="271" customWidth="1"/>
    <col min="2572" max="2572" width="23.42578125" style="271" customWidth="1"/>
    <col min="2573" max="2573" width="16.7109375" style="271" customWidth="1"/>
    <col min="2574" max="2574" width="21.7109375" style="271" customWidth="1"/>
    <col min="2575" max="2816" width="11.42578125" style="271"/>
    <col min="2817" max="2817" width="3.42578125" style="271" customWidth="1"/>
    <col min="2818" max="2818" width="23.7109375" style="271" customWidth="1"/>
    <col min="2819" max="2819" width="22.42578125" style="271" customWidth="1"/>
    <col min="2820" max="2820" width="25" style="271" customWidth="1"/>
    <col min="2821" max="2821" width="24" style="271" customWidth="1"/>
    <col min="2822" max="2822" width="28.42578125" style="271" customWidth="1"/>
    <col min="2823" max="2823" width="20.42578125" style="271" customWidth="1"/>
    <col min="2824" max="2824" width="18.140625" style="271" customWidth="1"/>
    <col min="2825" max="2825" width="18.7109375" style="271" customWidth="1"/>
    <col min="2826" max="2826" width="18.42578125" style="271" customWidth="1"/>
    <col min="2827" max="2827" width="19.28515625" style="271" customWidth="1"/>
    <col min="2828" max="2828" width="23.42578125" style="271" customWidth="1"/>
    <col min="2829" max="2829" width="16.7109375" style="271" customWidth="1"/>
    <col min="2830" max="2830" width="21.7109375" style="271" customWidth="1"/>
    <col min="2831" max="3072" width="11.42578125" style="271"/>
    <col min="3073" max="3073" width="3.42578125" style="271" customWidth="1"/>
    <col min="3074" max="3074" width="23.7109375" style="271" customWidth="1"/>
    <col min="3075" max="3075" width="22.42578125" style="271" customWidth="1"/>
    <col min="3076" max="3076" width="25" style="271" customWidth="1"/>
    <col min="3077" max="3077" width="24" style="271" customWidth="1"/>
    <col min="3078" max="3078" width="28.42578125" style="271" customWidth="1"/>
    <col min="3079" max="3079" width="20.42578125" style="271" customWidth="1"/>
    <col min="3080" max="3080" width="18.140625" style="271" customWidth="1"/>
    <col min="3081" max="3081" width="18.7109375" style="271" customWidth="1"/>
    <col min="3082" max="3082" width="18.42578125" style="271" customWidth="1"/>
    <col min="3083" max="3083" width="19.28515625" style="271" customWidth="1"/>
    <col min="3084" max="3084" width="23.42578125" style="271" customWidth="1"/>
    <col min="3085" max="3085" width="16.7109375" style="271" customWidth="1"/>
    <col min="3086" max="3086" width="21.7109375" style="271" customWidth="1"/>
    <col min="3087" max="3328" width="11.42578125" style="271"/>
    <col min="3329" max="3329" width="3.42578125" style="271" customWidth="1"/>
    <col min="3330" max="3330" width="23.7109375" style="271" customWidth="1"/>
    <col min="3331" max="3331" width="22.42578125" style="271" customWidth="1"/>
    <col min="3332" max="3332" width="25" style="271" customWidth="1"/>
    <col min="3333" max="3333" width="24" style="271" customWidth="1"/>
    <col min="3334" max="3334" width="28.42578125" style="271" customWidth="1"/>
    <col min="3335" max="3335" width="20.42578125" style="271" customWidth="1"/>
    <col min="3336" max="3336" width="18.140625" style="271" customWidth="1"/>
    <col min="3337" max="3337" width="18.7109375" style="271" customWidth="1"/>
    <col min="3338" max="3338" width="18.42578125" style="271" customWidth="1"/>
    <col min="3339" max="3339" width="19.28515625" style="271" customWidth="1"/>
    <col min="3340" max="3340" width="23.42578125" style="271" customWidth="1"/>
    <col min="3341" max="3341" width="16.7109375" style="271" customWidth="1"/>
    <col min="3342" max="3342" width="21.7109375" style="271" customWidth="1"/>
    <col min="3343" max="3584" width="11.42578125" style="271"/>
    <col min="3585" max="3585" width="3.42578125" style="271" customWidth="1"/>
    <col min="3586" max="3586" width="23.7109375" style="271" customWidth="1"/>
    <col min="3587" max="3587" width="22.42578125" style="271" customWidth="1"/>
    <col min="3588" max="3588" width="25" style="271" customWidth="1"/>
    <col min="3589" max="3589" width="24" style="271" customWidth="1"/>
    <col min="3590" max="3590" width="28.42578125" style="271" customWidth="1"/>
    <col min="3591" max="3591" width="20.42578125" style="271" customWidth="1"/>
    <col min="3592" max="3592" width="18.140625" style="271" customWidth="1"/>
    <col min="3593" max="3593" width="18.7109375" style="271" customWidth="1"/>
    <col min="3594" max="3594" width="18.42578125" style="271" customWidth="1"/>
    <col min="3595" max="3595" width="19.28515625" style="271" customWidth="1"/>
    <col min="3596" max="3596" width="23.42578125" style="271" customWidth="1"/>
    <col min="3597" max="3597" width="16.7109375" style="271" customWidth="1"/>
    <col min="3598" max="3598" width="21.7109375" style="271" customWidth="1"/>
    <col min="3599" max="3840" width="11.42578125" style="271"/>
    <col min="3841" max="3841" width="3.42578125" style="271" customWidth="1"/>
    <col min="3842" max="3842" width="23.7109375" style="271" customWidth="1"/>
    <col min="3843" max="3843" width="22.42578125" style="271" customWidth="1"/>
    <col min="3844" max="3844" width="25" style="271" customWidth="1"/>
    <col min="3845" max="3845" width="24" style="271" customWidth="1"/>
    <col min="3846" max="3846" width="28.42578125" style="271" customWidth="1"/>
    <col min="3847" max="3847" width="20.42578125" style="271" customWidth="1"/>
    <col min="3848" max="3848" width="18.140625" style="271" customWidth="1"/>
    <col min="3849" max="3849" width="18.7109375" style="271" customWidth="1"/>
    <col min="3850" max="3850" width="18.42578125" style="271" customWidth="1"/>
    <col min="3851" max="3851" width="19.28515625" style="271" customWidth="1"/>
    <col min="3852" max="3852" width="23.42578125" style="271" customWidth="1"/>
    <col min="3853" max="3853" width="16.7109375" style="271" customWidth="1"/>
    <col min="3854" max="3854" width="21.7109375" style="271" customWidth="1"/>
    <col min="3855" max="4096" width="11.42578125" style="271"/>
    <col min="4097" max="4097" width="3.42578125" style="271" customWidth="1"/>
    <col min="4098" max="4098" width="23.7109375" style="271" customWidth="1"/>
    <col min="4099" max="4099" width="22.42578125" style="271" customWidth="1"/>
    <col min="4100" max="4100" width="25" style="271" customWidth="1"/>
    <col min="4101" max="4101" width="24" style="271" customWidth="1"/>
    <col min="4102" max="4102" width="28.42578125" style="271" customWidth="1"/>
    <col min="4103" max="4103" width="20.42578125" style="271" customWidth="1"/>
    <col min="4104" max="4104" width="18.140625" style="271" customWidth="1"/>
    <col min="4105" max="4105" width="18.7109375" style="271" customWidth="1"/>
    <col min="4106" max="4106" width="18.42578125" style="271" customWidth="1"/>
    <col min="4107" max="4107" width="19.28515625" style="271" customWidth="1"/>
    <col min="4108" max="4108" width="23.42578125" style="271" customWidth="1"/>
    <col min="4109" max="4109" width="16.7109375" style="271" customWidth="1"/>
    <col min="4110" max="4110" width="21.7109375" style="271" customWidth="1"/>
    <col min="4111" max="4352" width="11.42578125" style="271"/>
    <col min="4353" max="4353" width="3.42578125" style="271" customWidth="1"/>
    <col min="4354" max="4354" width="23.7109375" style="271" customWidth="1"/>
    <col min="4355" max="4355" width="22.42578125" style="271" customWidth="1"/>
    <col min="4356" max="4356" width="25" style="271" customWidth="1"/>
    <col min="4357" max="4357" width="24" style="271" customWidth="1"/>
    <col min="4358" max="4358" width="28.42578125" style="271" customWidth="1"/>
    <col min="4359" max="4359" width="20.42578125" style="271" customWidth="1"/>
    <col min="4360" max="4360" width="18.140625" style="271" customWidth="1"/>
    <col min="4361" max="4361" width="18.7109375" style="271" customWidth="1"/>
    <col min="4362" max="4362" width="18.42578125" style="271" customWidth="1"/>
    <col min="4363" max="4363" width="19.28515625" style="271" customWidth="1"/>
    <col min="4364" max="4364" width="23.42578125" style="271" customWidth="1"/>
    <col min="4365" max="4365" width="16.7109375" style="271" customWidth="1"/>
    <col min="4366" max="4366" width="21.7109375" style="271" customWidth="1"/>
    <col min="4367" max="4608" width="11.42578125" style="271"/>
    <col min="4609" max="4609" width="3.42578125" style="271" customWidth="1"/>
    <col min="4610" max="4610" width="23.7109375" style="271" customWidth="1"/>
    <col min="4611" max="4611" width="22.42578125" style="271" customWidth="1"/>
    <col min="4612" max="4612" width="25" style="271" customWidth="1"/>
    <col min="4613" max="4613" width="24" style="271" customWidth="1"/>
    <col min="4614" max="4614" width="28.42578125" style="271" customWidth="1"/>
    <col min="4615" max="4615" width="20.42578125" style="271" customWidth="1"/>
    <col min="4616" max="4616" width="18.140625" style="271" customWidth="1"/>
    <col min="4617" max="4617" width="18.7109375" style="271" customWidth="1"/>
    <col min="4618" max="4618" width="18.42578125" style="271" customWidth="1"/>
    <col min="4619" max="4619" width="19.28515625" style="271" customWidth="1"/>
    <col min="4620" max="4620" width="23.42578125" style="271" customWidth="1"/>
    <col min="4621" max="4621" width="16.7109375" style="271" customWidth="1"/>
    <col min="4622" max="4622" width="21.7109375" style="271" customWidth="1"/>
    <col min="4623" max="4864" width="11.42578125" style="271"/>
    <col min="4865" max="4865" width="3.42578125" style="271" customWidth="1"/>
    <col min="4866" max="4866" width="23.7109375" style="271" customWidth="1"/>
    <col min="4867" max="4867" width="22.42578125" style="271" customWidth="1"/>
    <col min="4868" max="4868" width="25" style="271" customWidth="1"/>
    <col min="4869" max="4869" width="24" style="271" customWidth="1"/>
    <col min="4870" max="4870" width="28.42578125" style="271" customWidth="1"/>
    <col min="4871" max="4871" width="20.42578125" style="271" customWidth="1"/>
    <col min="4872" max="4872" width="18.140625" style="271" customWidth="1"/>
    <col min="4873" max="4873" width="18.7109375" style="271" customWidth="1"/>
    <col min="4874" max="4874" width="18.42578125" style="271" customWidth="1"/>
    <col min="4875" max="4875" width="19.28515625" style="271" customWidth="1"/>
    <col min="4876" max="4876" width="23.42578125" style="271" customWidth="1"/>
    <col min="4877" max="4877" width="16.7109375" style="271" customWidth="1"/>
    <col min="4878" max="4878" width="21.7109375" style="271" customWidth="1"/>
    <col min="4879" max="5120" width="11.42578125" style="271"/>
    <col min="5121" max="5121" width="3.42578125" style="271" customWidth="1"/>
    <col min="5122" max="5122" width="23.7109375" style="271" customWidth="1"/>
    <col min="5123" max="5123" width="22.42578125" style="271" customWidth="1"/>
    <col min="5124" max="5124" width="25" style="271" customWidth="1"/>
    <col min="5125" max="5125" width="24" style="271" customWidth="1"/>
    <col min="5126" max="5126" width="28.42578125" style="271" customWidth="1"/>
    <col min="5127" max="5127" width="20.42578125" style="271" customWidth="1"/>
    <col min="5128" max="5128" width="18.140625" style="271" customWidth="1"/>
    <col min="5129" max="5129" width="18.7109375" style="271" customWidth="1"/>
    <col min="5130" max="5130" width="18.42578125" style="271" customWidth="1"/>
    <col min="5131" max="5131" width="19.28515625" style="271" customWidth="1"/>
    <col min="5132" max="5132" width="23.42578125" style="271" customWidth="1"/>
    <col min="5133" max="5133" width="16.7109375" style="271" customWidth="1"/>
    <col min="5134" max="5134" width="21.7109375" style="271" customWidth="1"/>
    <col min="5135" max="5376" width="11.42578125" style="271"/>
    <col min="5377" max="5377" width="3.42578125" style="271" customWidth="1"/>
    <col min="5378" max="5378" width="23.7109375" style="271" customWidth="1"/>
    <col min="5379" max="5379" width="22.42578125" style="271" customWidth="1"/>
    <col min="5380" max="5380" width="25" style="271" customWidth="1"/>
    <col min="5381" max="5381" width="24" style="271" customWidth="1"/>
    <col min="5382" max="5382" width="28.42578125" style="271" customWidth="1"/>
    <col min="5383" max="5383" width="20.42578125" style="271" customWidth="1"/>
    <col min="5384" max="5384" width="18.140625" style="271" customWidth="1"/>
    <col min="5385" max="5385" width="18.7109375" style="271" customWidth="1"/>
    <col min="5386" max="5386" width="18.42578125" style="271" customWidth="1"/>
    <col min="5387" max="5387" width="19.28515625" style="271" customWidth="1"/>
    <col min="5388" max="5388" width="23.42578125" style="271" customWidth="1"/>
    <col min="5389" max="5389" width="16.7109375" style="271" customWidth="1"/>
    <col min="5390" max="5390" width="21.7109375" style="271" customWidth="1"/>
    <col min="5391" max="5632" width="11.42578125" style="271"/>
    <col min="5633" max="5633" width="3.42578125" style="271" customWidth="1"/>
    <col min="5634" max="5634" width="23.7109375" style="271" customWidth="1"/>
    <col min="5635" max="5635" width="22.42578125" style="271" customWidth="1"/>
    <col min="5636" max="5636" width="25" style="271" customWidth="1"/>
    <col min="5637" max="5637" width="24" style="271" customWidth="1"/>
    <col min="5638" max="5638" width="28.42578125" style="271" customWidth="1"/>
    <col min="5639" max="5639" width="20.42578125" style="271" customWidth="1"/>
    <col min="5640" max="5640" width="18.140625" style="271" customWidth="1"/>
    <col min="5641" max="5641" width="18.7109375" style="271" customWidth="1"/>
    <col min="5642" max="5642" width="18.42578125" style="271" customWidth="1"/>
    <col min="5643" max="5643" width="19.28515625" style="271" customWidth="1"/>
    <col min="5644" max="5644" width="23.42578125" style="271" customWidth="1"/>
    <col min="5645" max="5645" width="16.7109375" style="271" customWidth="1"/>
    <col min="5646" max="5646" width="21.7109375" style="271" customWidth="1"/>
    <col min="5647" max="5888" width="11.42578125" style="271"/>
    <col min="5889" max="5889" width="3.42578125" style="271" customWidth="1"/>
    <col min="5890" max="5890" width="23.7109375" style="271" customWidth="1"/>
    <col min="5891" max="5891" width="22.42578125" style="271" customWidth="1"/>
    <col min="5892" max="5892" width="25" style="271" customWidth="1"/>
    <col min="5893" max="5893" width="24" style="271" customWidth="1"/>
    <col min="5894" max="5894" width="28.42578125" style="271" customWidth="1"/>
    <col min="5895" max="5895" width="20.42578125" style="271" customWidth="1"/>
    <col min="5896" max="5896" width="18.140625" style="271" customWidth="1"/>
    <col min="5897" max="5897" width="18.7109375" style="271" customWidth="1"/>
    <col min="5898" max="5898" width="18.42578125" style="271" customWidth="1"/>
    <col min="5899" max="5899" width="19.28515625" style="271" customWidth="1"/>
    <col min="5900" max="5900" width="23.42578125" style="271" customWidth="1"/>
    <col min="5901" max="5901" width="16.7109375" style="271" customWidth="1"/>
    <col min="5902" max="5902" width="21.7109375" style="271" customWidth="1"/>
    <col min="5903" max="6144" width="11.42578125" style="271"/>
    <col min="6145" max="6145" width="3.42578125" style="271" customWidth="1"/>
    <col min="6146" max="6146" width="23.7109375" style="271" customWidth="1"/>
    <col min="6147" max="6147" width="22.42578125" style="271" customWidth="1"/>
    <col min="6148" max="6148" width="25" style="271" customWidth="1"/>
    <col min="6149" max="6149" width="24" style="271" customWidth="1"/>
    <col min="6150" max="6150" width="28.42578125" style="271" customWidth="1"/>
    <col min="6151" max="6151" width="20.42578125" style="271" customWidth="1"/>
    <col min="6152" max="6152" width="18.140625" style="271" customWidth="1"/>
    <col min="6153" max="6153" width="18.7109375" style="271" customWidth="1"/>
    <col min="6154" max="6154" width="18.42578125" style="271" customWidth="1"/>
    <col min="6155" max="6155" width="19.28515625" style="271" customWidth="1"/>
    <col min="6156" max="6156" width="23.42578125" style="271" customWidth="1"/>
    <col min="6157" max="6157" width="16.7109375" style="271" customWidth="1"/>
    <col min="6158" max="6158" width="21.7109375" style="271" customWidth="1"/>
    <col min="6159" max="6400" width="11.42578125" style="271"/>
    <col min="6401" max="6401" width="3.42578125" style="271" customWidth="1"/>
    <col min="6402" max="6402" width="23.7109375" style="271" customWidth="1"/>
    <col min="6403" max="6403" width="22.42578125" style="271" customWidth="1"/>
    <col min="6404" max="6404" width="25" style="271" customWidth="1"/>
    <col min="6405" max="6405" width="24" style="271" customWidth="1"/>
    <col min="6406" max="6406" width="28.42578125" style="271" customWidth="1"/>
    <col min="6407" max="6407" width="20.42578125" style="271" customWidth="1"/>
    <col min="6408" max="6408" width="18.140625" style="271" customWidth="1"/>
    <col min="6409" max="6409" width="18.7109375" style="271" customWidth="1"/>
    <col min="6410" max="6410" width="18.42578125" style="271" customWidth="1"/>
    <col min="6411" max="6411" width="19.28515625" style="271" customWidth="1"/>
    <col min="6412" max="6412" width="23.42578125" style="271" customWidth="1"/>
    <col min="6413" max="6413" width="16.7109375" style="271" customWidth="1"/>
    <col min="6414" max="6414" width="21.7109375" style="271" customWidth="1"/>
    <col min="6415" max="6656" width="11.42578125" style="271"/>
    <col min="6657" max="6657" width="3.42578125" style="271" customWidth="1"/>
    <col min="6658" max="6658" width="23.7109375" style="271" customWidth="1"/>
    <col min="6659" max="6659" width="22.42578125" style="271" customWidth="1"/>
    <col min="6660" max="6660" width="25" style="271" customWidth="1"/>
    <col min="6661" max="6661" width="24" style="271" customWidth="1"/>
    <col min="6662" max="6662" width="28.42578125" style="271" customWidth="1"/>
    <col min="6663" max="6663" width="20.42578125" style="271" customWidth="1"/>
    <col min="6664" max="6664" width="18.140625" style="271" customWidth="1"/>
    <col min="6665" max="6665" width="18.7109375" style="271" customWidth="1"/>
    <col min="6666" max="6666" width="18.42578125" style="271" customWidth="1"/>
    <col min="6667" max="6667" width="19.28515625" style="271" customWidth="1"/>
    <col min="6668" max="6668" width="23.42578125" style="271" customWidth="1"/>
    <col min="6669" max="6669" width="16.7109375" style="271" customWidth="1"/>
    <col min="6670" max="6670" width="21.7109375" style="271" customWidth="1"/>
    <col min="6671" max="6912" width="11.42578125" style="271"/>
    <col min="6913" max="6913" width="3.42578125" style="271" customWidth="1"/>
    <col min="6914" max="6914" width="23.7109375" style="271" customWidth="1"/>
    <col min="6915" max="6915" width="22.42578125" style="271" customWidth="1"/>
    <col min="6916" max="6916" width="25" style="271" customWidth="1"/>
    <col min="6917" max="6917" width="24" style="271" customWidth="1"/>
    <col min="6918" max="6918" width="28.42578125" style="271" customWidth="1"/>
    <col min="6919" max="6919" width="20.42578125" style="271" customWidth="1"/>
    <col min="6920" max="6920" width="18.140625" style="271" customWidth="1"/>
    <col min="6921" max="6921" width="18.7109375" style="271" customWidth="1"/>
    <col min="6922" max="6922" width="18.42578125" style="271" customWidth="1"/>
    <col min="6923" max="6923" width="19.28515625" style="271" customWidth="1"/>
    <col min="6924" max="6924" width="23.42578125" style="271" customWidth="1"/>
    <col min="6925" max="6925" width="16.7109375" style="271" customWidth="1"/>
    <col min="6926" max="6926" width="21.7109375" style="271" customWidth="1"/>
    <col min="6927" max="7168" width="11.42578125" style="271"/>
    <col min="7169" max="7169" width="3.42578125" style="271" customWidth="1"/>
    <col min="7170" max="7170" width="23.7109375" style="271" customWidth="1"/>
    <col min="7171" max="7171" width="22.42578125" style="271" customWidth="1"/>
    <col min="7172" max="7172" width="25" style="271" customWidth="1"/>
    <col min="7173" max="7173" width="24" style="271" customWidth="1"/>
    <col min="7174" max="7174" width="28.42578125" style="271" customWidth="1"/>
    <col min="7175" max="7175" width="20.42578125" style="271" customWidth="1"/>
    <col min="7176" max="7176" width="18.140625" style="271" customWidth="1"/>
    <col min="7177" max="7177" width="18.7109375" style="271" customWidth="1"/>
    <col min="7178" max="7178" width="18.42578125" style="271" customWidth="1"/>
    <col min="7179" max="7179" width="19.28515625" style="271" customWidth="1"/>
    <col min="7180" max="7180" width="23.42578125" style="271" customWidth="1"/>
    <col min="7181" max="7181" width="16.7109375" style="271" customWidth="1"/>
    <col min="7182" max="7182" width="21.7109375" style="271" customWidth="1"/>
    <col min="7183" max="7424" width="11.42578125" style="271"/>
    <col min="7425" max="7425" width="3.42578125" style="271" customWidth="1"/>
    <col min="7426" max="7426" width="23.7109375" style="271" customWidth="1"/>
    <col min="7427" max="7427" width="22.42578125" style="271" customWidth="1"/>
    <col min="7428" max="7428" width="25" style="271" customWidth="1"/>
    <col min="7429" max="7429" width="24" style="271" customWidth="1"/>
    <col min="7430" max="7430" width="28.42578125" style="271" customWidth="1"/>
    <col min="7431" max="7431" width="20.42578125" style="271" customWidth="1"/>
    <col min="7432" max="7432" width="18.140625" style="271" customWidth="1"/>
    <col min="7433" max="7433" width="18.7109375" style="271" customWidth="1"/>
    <col min="7434" max="7434" width="18.42578125" style="271" customWidth="1"/>
    <col min="7435" max="7435" width="19.28515625" style="271" customWidth="1"/>
    <col min="7436" max="7436" width="23.42578125" style="271" customWidth="1"/>
    <col min="7437" max="7437" width="16.7109375" style="271" customWidth="1"/>
    <col min="7438" max="7438" width="21.7109375" style="271" customWidth="1"/>
    <col min="7439" max="7680" width="11.42578125" style="271"/>
    <col min="7681" max="7681" width="3.42578125" style="271" customWidth="1"/>
    <col min="7682" max="7682" width="23.7109375" style="271" customWidth="1"/>
    <col min="7683" max="7683" width="22.42578125" style="271" customWidth="1"/>
    <col min="7684" max="7684" width="25" style="271" customWidth="1"/>
    <col min="7685" max="7685" width="24" style="271" customWidth="1"/>
    <col min="7686" max="7686" width="28.42578125" style="271" customWidth="1"/>
    <col min="7687" max="7687" width="20.42578125" style="271" customWidth="1"/>
    <col min="7688" max="7688" width="18.140625" style="271" customWidth="1"/>
    <col min="7689" max="7689" width="18.7109375" style="271" customWidth="1"/>
    <col min="7690" max="7690" width="18.42578125" style="271" customWidth="1"/>
    <col min="7691" max="7691" width="19.28515625" style="271" customWidth="1"/>
    <col min="7692" max="7692" width="23.42578125" style="271" customWidth="1"/>
    <col min="7693" max="7693" width="16.7109375" style="271" customWidth="1"/>
    <col min="7694" max="7694" width="21.7109375" style="271" customWidth="1"/>
    <col min="7695" max="7936" width="11.42578125" style="271"/>
    <col min="7937" max="7937" width="3.42578125" style="271" customWidth="1"/>
    <col min="7938" max="7938" width="23.7109375" style="271" customWidth="1"/>
    <col min="7939" max="7939" width="22.42578125" style="271" customWidth="1"/>
    <col min="7940" max="7940" width="25" style="271" customWidth="1"/>
    <col min="7941" max="7941" width="24" style="271" customWidth="1"/>
    <col min="7942" max="7942" width="28.42578125" style="271" customWidth="1"/>
    <col min="7943" max="7943" width="20.42578125" style="271" customWidth="1"/>
    <col min="7944" max="7944" width="18.140625" style="271" customWidth="1"/>
    <col min="7945" max="7945" width="18.7109375" style="271" customWidth="1"/>
    <col min="7946" max="7946" width="18.42578125" style="271" customWidth="1"/>
    <col min="7947" max="7947" width="19.28515625" style="271" customWidth="1"/>
    <col min="7948" max="7948" width="23.42578125" style="271" customWidth="1"/>
    <col min="7949" max="7949" width="16.7109375" style="271" customWidth="1"/>
    <col min="7950" max="7950" width="21.7109375" style="271" customWidth="1"/>
    <col min="7951" max="8192" width="11.42578125" style="271"/>
    <col min="8193" max="8193" width="3.42578125" style="271" customWidth="1"/>
    <col min="8194" max="8194" width="23.7109375" style="271" customWidth="1"/>
    <col min="8195" max="8195" width="22.42578125" style="271" customWidth="1"/>
    <col min="8196" max="8196" width="25" style="271" customWidth="1"/>
    <col min="8197" max="8197" width="24" style="271" customWidth="1"/>
    <col min="8198" max="8198" width="28.42578125" style="271" customWidth="1"/>
    <col min="8199" max="8199" width="20.42578125" style="271" customWidth="1"/>
    <col min="8200" max="8200" width="18.140625" style="271" customWidth="1"/>
    <col min="8201" max="8201" width="18.7109375" style="271" customWidth="1"/>
    <col min="8202" max="8202" width="18.42578125" style="271" customWidth="1"/>
    <col min="8203" max="8203" width="19.28515625" style="271" customWidth="1"/>
    <col min="8204" max="8204" width="23.42578125" style="271" customWidth="1"/>
    <col min="8205" max="8205" width="16.7109375" style="271" customWidth="1"/>
    <col min="8206" max="8206" width="21.7109375" style="271" customWidth="1"/>
    <col min="8207" max="8448" width="11.42578125" style="271"/>
    <col min="8449" max="8449" width="3.42578125" style="271" customWidth="1"/>
    <col min="8450" max="8450" width="23.7109375" style="271" customWidth="1"/>
    <col min="8451" max="8451" width="22.42578125" style="271" customWidth="1"/>
    <col min="8452" max="8452" width="25" style="271" customWidth="1"/>
    <col min="8453" max="8453" width="24" style="271" customWidth="1"/>
    <col min="8454" max="8454" width="28.42578125" style="271" customWidth="1"/>
    <col min="8455" max="8455" width="20.42578125" style="271" customWidth="1"/>
    <col min="8456" max="8456" width="18.140625" style="271" customWidth="1"/>
    <col min="8457" max="8457" width="18.7109375" style="271" customWidth="1"/>
    <col min="8458" max="8458" width="18.42578125" style="271" customWidth="1"/>
    <col min="8459" max="8459" width="19.28515625" style="271" customWidth="1"/>
    <col min="8460" max="8460" width="23.42578125" style="271" customWidth="1"/>
    <col min="8461" max="8461" width="16.7109375" style="271" customWidth="1"/>
    <col min="8462" max="8462" width="21.7109375" style="271" customWidth="1"/>
    <col min="8463" max="8704" width="11.42578125" style="271"/>
    <col min="8705" max="8705" width="3.42578125" style="271" customWidth="1"/>
    <col min="8706" max="8706" width="23.7109375" style="271" customWidth="1"/>
    <col min="8707" max="8707" width="22.42578125" style="271" customWidth="1"/>
    <col min="8708" max="8708" width="25" style="271" customWidth="1"/>
    <col min="8709" max="8709" width="24" style="271" customWidth="1"/>
    <col min="8710" max="8710" width="28.42578125" style="271" customWidth="1"/>
    <col min="8711" max="8711" width="20.42578125" style="271" customWidth="1"/>
    <col min="8712" max="8712" width="18.140625" style="271" customWidth="1"/>
    <col min="8713" max="8713" width="18.7109375" style="271" customWidth="1"/>
    <col min="8714" max="8714" width="18.42578125" style="271" customWidth="1"/>
    <col min="8715" max="8715" width="19.28515625" style="271" customWidth="1"/>
    <col min="8716" max="8716" width="23.42578125" style="271" customWidth="1"/>
    <col min="8717" max="8717" width="16.7109375" style="271" customWidth="1"/>
    <col min="8718" max="8718" width="21.7109375" style="271" customWidth="1"/>
    <col min="8719" max="8960" width="11.42578125" style="271"/>
    <col min="8961" max="8961" width="3.42578125" style="271" customWidth="1"/>
    <col min="8962" max="8962" width="23.7109375" style="271" customWidth="1"/>
    <col min="8963" max="8963" width="22.42578125" style="271" customWidth="1"/>
    <col min="8964" max="8964" width="25" style="271" customWidth="1"/>
    <col min="8965" max="8965" width="24" style="271" customWidth="1"/>
    <col min="8966" max="8966" width="28.42578125" style="271" customWidth="1"/>
    <col min="8967" max="8967" width="20.42578125" style="271" customWidth="1"/>
    <col min="8968" max="8968" width="18.140625" style="271" customWidth="1"/>
    <col min="8969" max="8969" width="18.7109375" style="271" customWidth="1"/>
    <col min="8970" max="8970" width="18.42578125" style="271" customWidth="1"/>
    <col min="8971" max="8971" width="19.28515625" style="271" customWidth="1"/>
    <col min="8972" max="8972" width="23.42578125" style="271" customWidth="1"/>
    <col min="8973" max="8973" width="16.7109375" style="271" customWidth="1"/>
    <col min="8974" max="8974" width="21.7109375" style="271" customWidth="1"/>
    <col min="8975" max="9216" width="11.42578125" style="271"/>
    <col min="9217" max="9217" width="3.42578125" style="271" customWidth="1"/>
    <col min="9218" max="9218" width="23.7109375" style="271" customWidth="1"/>
    <col min="9219" max="9219" width="22.42578125" style="271" customWidth="1"/>
    <col min="9220" max="9220" width="25" style="271" customWidth="1"/>
    <col min="9221" max="9221" width="24" style="271" customWidth="1"/>
    <col min="9222" max="9222" width="28.42578125" style="271" customWidth="1"/>
    <col min="9223" max="9223" width="20.42578125" style="271" customWidth="1"/>
    <col min="9224" max="9224" width="18.140625" style="271" customWidth="1"/>
    <col min="9225" max="9225" width="18.7109375" style="271" customWidth="1"/>
    <col min="9226" max="9226" width="18.42578125" style="271" customWidth="1"/>
    <col min="9227" max="9227" width="19.28515625" style="271" customWidth="1"/>
    <col min="9228" max="9228" width="23.42578125" style="271" customWidth="1"/>
    <col min="9229" max="9229" width="16.7109375" style="271" customWidth="1"/>
    <col min="9230" max="9230" width="21.7109375" style="271" customWidth="1"/>
    <col min="9231" max="9472" width="11.42578125" style="271"/>
    <col min="9473" max="9473" width="3.42578125" style="271" customWidth="1"/>
    <col min="9474" max="9474" width="23.7109375" style="271" customWidth="1"/>
    <col min="9475" max="9475" width="22.42578125" style="271" customWidth="1"/>
    <col min="9476" max="9476" width="25" style="271" customWidth="1"/>
    <col min="9477" max="9477" width="24" style="271" customWidth="1"/>
    <col min="9478" max="9478" width="28.42578125" style="271" customWidth="1"/>
    <col min="9479" max="9479" width="20.42578125" style="271" customWidth="1"/>
    <col min="9480" max="9480" width="18.140625" style="271" customWidth="1"/>
    <col min="9481" max="9481" width="18.7109375" style="271" customWidth="1"/>
    <col min="9482" max="9482" width="18.42578125" style="271" customWidth="1"/>
    <col min="9483" max="9483" width="19.28515625" style="271" customWidth="1"/>
    <col min="9484" max="9484" width="23.42578125" style="271" customWidth="1"/>
    <col min="9485" max="9485" width="16.7109375" style="271" customWidth="1"/>
    <col min="9486" max="9486" width="21.7109375" style="271" customWidth="1"/>
    <col min="9487" max="9728" width="11.42578125" style="271"/>
    <col min="9729" max="9729" width="3.42578125" style="271" customWidth="1"/>
    <col min="9730" max="9730" width="23.7109375" style="271" customWidth="1"/>
    <col min="9731" max="9731" width="22.42578125" style="271" customWidth="1"/>
    <col min="9732" max="9732" width="25" style="271" customWidth="1"/>
    <col min="9733" max="9733" width="24" style="271" customWidth="1"/>
    <col min="9734" max="9734" width="28.42578125" style="271" customWidth="1"/>
    <col min="9735" max="9735" width="20.42578125" style="271" customWidth="1"/>
    <col min="9736" max="9736" width="18.140625" style="271" customWidth="1"/>
    <col min="9737" max="9737" width="18.7109375" style="271" customWidth="1"/>
    <col min="9738" max="9738" width="18.42578125" style="271" customWidth="1"/>
    <col min="9739" max="9739" width="19.28515625" style="271" customWidth="1"/>
    <col min="9740" max="9740" width="23.42578125" style="271" customWidth="1"/>
    <col min="9741" max="9741" width="16.7109375" style="271" customWidth="1"/>
    <col min="9742" max="9742" width="21.7109375" style="271" customWidth="1"/>
    <col min="9743" max="9984" width="11.42578125" style="271"/>
    <col min="9985" max="9985" width="3.42578125" style="271" customWidth="1"/>
    <col min="9986" max="9986" width="23.7109375" style="271" customWidth="1"/>
    <col min="9987" max="9987" width="22.42578125" style="271" customWidth="1"/>
    <col min="9988" max="9988" width="25" style="271" customWidth="1"/>
    <col min="9989" max="9989" width="24" style="271" customWidth="1"/>
    <col min="9990" max="9990" width="28.42578125" style="271" customWidth="1"/>
    <col min="9991" max="9991" width="20.42578125" style="271" customWidth="1"/>
    <col min="9992" max="9992" width="18.140625" style="271" customWidth="1"/>
    <col min="9993" max="9993" width="18.7109375" style="271" customWidth="1"/>
    <col min="9994" max="9994" width="18.42578125" style="271" customWidth="1"/>
    <col min="9995" max="9995" width="19.28515625" style="271" customWidth="1"/>
    <col min="9996" max="9996" width="23.42578125" style="271" customWidth="1"/>
    <col min="9997" max="9997" width="16.7109375" style="271" customWidth="1"/>
    <col min="9998" max="9998" width="21.7109375" style="271" customWidth="1"/>
    <col min="9999" max="10240" width="11.42578125" style="271"/>
    <col min="10241" max="10241" width="3.42578125" style="271" customWidth="1"/>
    <col min="10242" max="10242" width="23.7109375" style="271" customWidth="1"/>
    <col min="10243" max="10243" width="22.42578125" style="271" customWidth="1"/>
    <col min="10244" max="10244" width="25" style="271" customWidth="1"/>
    <col min="10245" max="10245" width="24" style="271" customWidth="1"/>
    <col min="10246" max="10246" width="28.42578125" style="271" customWidth="1"/>
    <col min="10247" max="10247" width="20.42578125" style="271" customWidth="1"/>
    <col min="10248" max="10248" width="18.140625" style="271" customWidth="1"/>
    <col min="10249" max="10249" width="18.7109375" style="271" customWidth="1"/>
    <col min="10250" max="10250" width="18.42578125" style="271" customWidth="1"/>
    <col min="10251" max="10251" width="19.28515625" style="271" customWidth="1"/>
    <col min="10252" max="10252" width="23.42578125" style="271" customWidth="1"/>
    <col min="10253" max="10253" width="16.7109375" style="271" customWidth="1"/>
    <col min="10254" max="10254" width="21.7109375" style="271" customWidth="1"/>
    <col min="10255" max="10496" width="11.42578125" style="271"/>
    <col min="10497" max="10497" width="3.42578125" style="271" customWidth="1"/>
    <col min="10498" max="10498" width="23.7109375" style="271" customWidth="1"/>
    <col min="10499" max="10499" width="22.42578125" style="271" customWidth="1"/>
    <col min="10500" max="10500" width="25" style="271" customWidth="1"/>
    <col min="10501" max="10501" width="24" style="271" customWidth="1"/>
    <col min="10502" max="10502" width="28.42578125" style="271" customWidth="1"/>
    <col min="10503" max="10503" width="20.42578125" style="271" customWidth="1"/>
    <col min="10504" max="10504" width="18.140625" style="271" customWidth="1"/>
    <col min="10505" max="10505" width="18.7109375" style="271" customWidth="1"/>
    <col min="10506" max="10506" width="18.42578125" style="271" customWidth="1"/>
    <col min="10507" max="10507" width="19.28515625" style="271" customWidth="1"/>
    <col min="10508" max="10508" width="23.42578125" style="271" customWidth="1"/>
    <col min="10509" max="10509" width="16.7109375" style="271" customWidth="1"/>
    <col min="10510" max="10510" width="21.7109375" style="271" customWidth="1"/>
    <col min="10511" max="10752" width="11.42578125" style="271"/>
    <col min="10753" max="10753" width="3.42578125" style="271" customWidth="1"/>
    <col min="10754" max="10754" width="23.7109375" style="271" customWidth="1"/>
    <col min="10755" max="10755" width="22.42578125" style="271" customWidth="1"/>
    <col min="10756" max="10756" width="25" style="271" customWidth="1"/>
    <col min="10757" max="10757" width="24" style="271" customWidth="1"/>
    <col min="10758" max="10758" width="28.42578125" style="271" customWidth="1"/>
    <col min="10759" max="10759" width="20.42578125" style="271" customWidth="1"/>
    <col min="10760" max="10760" width="18.140625" style="271" customWidth="1"/>
    <col min="10761" max="10761" width="18.7109375" style="271" customWidth="1"/>
    <col min="10762" max="10762" width="18.42578125" style="271" customWidth="1"/>
    <col min="10763" max="10763" width="19.28515625" style="271" customWidth="1"/>
    <col min="10764" max="10764" width="23.42578125" style="271" customWidth="1"/>
    <col min="10765" max="10765" width="16.7109375" style="271" customWidth="1"/>
    <col min="10766" max="10766" width="21.7109375" style="271" customWidth="1"/>
    <col min="10767" max="11008" width="11.42578125" style="271"/>
    <col min="11009" max="11009" width="3.42578125" style="271" customWidth="1"/>
    <col min="11010" max="11010" width="23.7109375" style="271" customWidth="1"/>
    <col min="11011" max="11011" width="22.42578125" style="271" customWidth="1"/>
    <col min="11012" max="11012" width="25" style="271" customWidth="1"/>
    <col min="11013" max="11013" width="24" style="271" customWidth="1"/>
    <col min="11014" max="11014" width="28.42578125" style="271" customWidth="1"/>
    <col min="11015" max="11015" width="20.42578125" style="271" customWidth="1"/>
    <col min="11016" max="11016" width="18.140625" style="271" customWidth="1"/>
    <col min="11017" max="11017" width="18.7109375" style="271" customWidth="1"/>
    <col min="11018" max="11018" width="18.42578125" style="271" customWidth="1"/>
    <col min="11019" max="11019" width="19.28515625" style="271" customWidth="1"/>
    <col min="11020" max="11020" width="23.42578125" style="271" customWidth="1"/>
    <col min="11021" max="11021" width="16.7109375" style="271" customWidth="1"/>
    <col min="11022" max="11022" width="21.7109375" style="271" customWidth="1"/>
    <col min="11023" max="11264" width="11.42578125" style="271"/>
    <col min="11265" max="11265" width="3.42578125" style="271" customWidth="1"/>
    <col min="11266" max="11266" width="23.7109375" style="271" customWidth="1"/>
    <col min="11267" max="11267" width="22.42578125" style="271" customWidth="1"/>
    <col min="11268" max="11268" width="25" style="271" customWidth="1"/>
    <col min="11269" max="11269" width="24" style="271" customWidth="1"/>
    <col min="11270" max="11270" width="28.42578125" style="271" customWidth="1"/>
    <col min="11271" max="11271" width="20.42578125" style="271" customWidth="1"/>
    <col min="11272" max="11272" width="18.140625" style="271" customWidth="1"/>
    <col min="11273" max="11273" width="18.7109375" style="271" customWidth="1"/>
    <col min="11274" max="11274" width="18.42578125" style="271" customWidth="1"/>
    <col min="11275" max="11275" width="19.28515625" style="271" customWidth="1"/>
    <col min="11276" max="11276" width="23.42578125" style="271" customWidth="1"/>
    <col min="11277" max="11277" width="16.7109375" style="271" customWidth="1"/>
    <col min="11278" max="11278" width="21.7109375" style="271" customWidth="1"/>
    <col min="11279" max="11520" width="11.42578125" style="271"/>
    <col min="11521" max="11521" width="3.42578125" style="271" customWidth="1"/>
    <col min="11522" max="11522" width="23.7109375" style="271" customWidth="1"/>
    <col min="11523" max="11523" width="22.42578125" style="271" customWidth="1"/>
    <col min="11524" max="11524" width="25" style="271" customWidth="1"/>
    <col min="11525" max="11525" width="24" style="271" customWidth="1"/>
    <col min="11526" max="11526" width="28.42578125" style="271" customWidth="1"/>
    <col min="11527" max="11527" width="20.42578125" style="271" customWidth="1"/>
    <col min="11528" max="11528" width="18.140625" style="271" customWidth="1"/>
    <col min="11529" max="11529" width="18.7109375" style="271" customWidth="1"/>
    <col min="11530" max="11530" width="18.42578125" style="271" customWidth="1"/>
    <col min="11531" max="11531" width="19.28515625" style="271" customWidth="1"/>
    <col min="11532" max="11532" width="23.42578125" style="271" customWidth="1"/>
    <col min="11533" max="11533" width="16.7109375" style="271" customWidth="1"/>
    <col min="11534" max="11534" width="21.7109375" style="271" customWidth="1"/>
    <col min="11535" max="11776" width="11.42578125" style="271"/>
    <col min="11777" max="11777" width="3.42578125" style="271" customWidth="1"/>
    <col min="11778" max="11778" width="23.7109375" style="271" customWidth="1"/>
    <col min="11779" max="11779" width="22.42578125" style="271" customWidth="1"/>
    <col min="11780" max="11780" width="25" style="271" customWidth="1"/>
    <col min="11781" max="11781" width="24" style="271" customWidth="1"/>
    <col min="11782" max="11782" width="28.42578125" style="271" customWidth="1"/>
    <col min="11783" max="11783" width="20.42578125" style="271" customWidth="1"/>
    <col min="11784" max="11784" width="18.140625" style="271" customWidth="1"/>
    <col min="11785" max="11785" width="18.7109375" style="271" customWidth="1"/>
    <col min="11786" max="11786" width="18.42578125" style="271" customWidth="1"/>
    <col min="11787" max="11787" width="19.28515625" style="271" customWidth="1"/>
    <col min="11788" max="11788" width="23.42578125" style="271" customWidth="1"/>
    <col min="11789" max="11789" width="16.7109375" style="271" customWidth="1"/>
    <col min="11790" max="11790" width="21.7109375" style="271" customWidth="1"/>
    <col min="11791" max="12032" width="11.42578125" style="271"/>
    <col min="12033" max="12033" width="3.42578125" style="271" customWidth="1"/>
    <col min="12034" max="12034" width="23.7109375" style="271" customWidth="1"/>
    <col min="12035" max="12035" width="22.42578125" style="271" customWidth="1"/>
    <col min="12036" max="12036" width="25" style="271" customWidth="1"/>
    <col min="12037" max="12037" width="24" style="271" customWidth="1"/>
    <col min="12038" max="12038" width="28.42578125" style="271" customWidth="1"/>
    <col min="12039" max="12039" width="20.42578125" style="271" customWidth="1"/>
    <col min="12040" max="12040" width="18.140625" style="271" customWidth="1"/>
    <col min="12041" max="12041" width="18.7109375" style="271" customWidth="1"/>
    <col min="12042" max="12042" width="18.42578125" style="271" customWidth="1"/>
    <col min="12043" max="12043" width="19.28515625" style="271" customWidth="1"/>
    <col min="12044" max="12044" width="23.42578125" style="271" customWidth="1"/>
    <col min="12045" max="12045" width="16.7109375" style="271" customWidth="1"/>
    <col min="12046" max="12046" width="21.7109375" style="271" customWidth="1"/>
    <col min="12047" max="12288" width="11.42578125" style="271"/>
    <col min="12289" max="12289" width="3.42578125" style="271" customWidth="1"/>
    <col min="12290" max="12290" width="23.7109375" style="271" customWidth="1"/>
    <col min="12291" max="12291" width="22.42578125" style="271" customWidth="1"/>
    <col min="12292" max="12292" width="25" style="271" customWidth="1"/>
    <col min="12293" max="12293" width="24" style="271" customWidth="1"/>
    <col min="12294" max="12294" width="28.42578125" style="271" customWidth="1"/>
    <col min="12295" max="12295" width="20.42578125" style="271" customWidth="1"/>
    <col min="12296" max="12296" width="18.140625" style="271" customWidth="1"/>
    <col min="12297" max="12297" width="18.7109375" style="271" customWidth="1"/>
    <col min="12298" max="12298" width="18.42578125" style="271" customWidth="1"/>
    <col min="12299" max="12299" width="19.28515625" style="271" customWidth="1"/>
    <col min="12300" max="12300" width="23.42578125" style="271" customWidth="1"/>
    <col min="12301" max="12301" width="16.7109375" style="271" customWidth="1"/>
    <col min="12302" max="12302" width="21.7109375" style="271" customWidth="1"/>
    <col min="12303" max="12544" width="11.42578125" style="271"/>
    <col min="12545" max="12545" width="3.42578125" style="271" customWidth="1"/>
    <col min="12546" max="12546" width="23.7109375" style="271" customWidth="1"/>
    <col min="12547" max="12547" width="22.42578125" style="271" customWidth="1"/>
    <col min="12548" max="12548" width="25" style="271" customWidth="1"/>
    <col min="12549" max="12549" width="24" style="271" customWidth="1"/>
    <col min="12550" max="12550" width="28.42578125" style="271" customWidth="1"/>
    <col min="12551" max="12551" width="20.42578125" style="271" customWidth="1"/>
    <col min="12552" max="12552" width="18.140625" style="271" customWidth="1"/>
    <col min="12553" max="12553" width="18.7109375" style="271" customWidth="1"/>
    <col min="12554" max="12554" width="18.42578125" style="271" customWidth="1"/>
    <col min="12555" max="12555" width="19.28515625" style="271" customWidth="1"/>
    <col min="12556" max="12556" width="23.42578125" style="271" customWidth="1"/>
    <col min="12557" max="12557" width="16.7109375" style="271" customWidth="1"/>
    <col min="12558" max="12558" width="21.7109375" style="271" customWidth="1"/>
    <col min="12559" max="12800" width="11.42578125" style="271"/>
    <col min="12801" max="12801" width="3.42578125" style="271" customWidth="1"/>
    <col min="12802" max="12802" width="23.7109375" style="271" customWidth="1"/>
    <col min="12803" max="12803" width="22.42578125" style="271" customWidth="1"/>
    <col min="12804" max="12804" width="25" style="271" customWidth="1"/>
    <col min="12805" max="12805" width="24" style="271" customWidth="1"/>
    <col min="12806" max="12806" width="28.42578125" style="271" customWidth="1"/>
    <col min="12807" max="12807" width="20.42578125" style="271" customWidth="1"/>
    <col min="12808" max="12808" width="18.140625" style="271" customWidth="1"/>
    <col min="12809" max="12809" width="18.7109375" style="271" customWidth="1"/>
    <col min="12810" max="12810" width="18.42578125" style="271" customWidth="1"/>
    <col min="12811" max="12811" width="19.28515625" style="271" customWidth="1"/>
    <col min="12812" max="12812" width="23.42578125" style="271" customWidth="1"/>
    <col min="12813" max="12813" width="16.7109375" style="271" customWidth="1"/>
    <col min="12814" max="12814" width="21.7109375" style="271" customWidth="1"/>
    <col min="12815" max="13056" width="11.42578125" style="271"/>
    <col min="13057" max="13057" width="3.42578125" style="271" customWidth="1"/>
    <col min="13058" max="13058" width="23.7109375" style="271" customWidth="1"/>
    <col min="13059" max="13059" width="22.42578125" style="271" customWidth="1"/>
    <col min="13060" max="13060" width="25" style="271" customWidth="1"/>
    <col min="13061" max="13061" width="24" style="271" customWidth="1"/>
    <col min="13062" max="13062" width="28.42578125" style="271" customWidth="1"/>
    <col min="13063" max="13063" width="20.42578125" style="271" customWidth="1"/>
    <col min="13064" max="13064" width="18.140625" style="271" customWidth="1"/>
    <col min="13065" max="13065" width="18.7109375" style="271" customWidth="1"/>
    <col min="13066" max="13066" width="18.42578125" style="271" customWidth="1"/>
    <col min="13067" max="13067" width="19.28515625" style="271" customWidth="1"/>
    <col min="13068" max="13068" width="23.42578125" style="271" customWidth="1"/>
    <col min="13069" max="13069" width="16.7109375" style="271" customWidth="1"/>
    <col min="13070" max="13070" width="21.7109375" style="271" customWidth="1"/>
    <col min="13071" max="13312" width="11.42578125" style="271"/>
    <col min="13313" max="13313" width="3.42578125" style="271" customWidth="1"/>
    <col min="13314" max="13314" width="23.7109375" style="271" customWidth="1"/>
    <col min="13315" max="13315" width="22.42578125" style="271" customWidth="1"/>
    <col min="13316" max="13316" width="25" style="271" customWidth="1"/>
    <col min="13317" max="13317" width="24" style="271" customWidth="1"/>
    <col min="13318" max="13318" width="28.42578125" style="271" customWidth="1"/>
    <col min="13319" max="13319" width="20.42578125" style="271" customWidth="1"/>
    <col min="13320" max="13320" width="18.140625" style="271" customWidth="1"/>
    <col min="13321" max="13321" width="18.7109375" style="271" customWidth="1"/>
    <col min="13322" max="13322" width="18.42578125" style="271" customWidth="1"/>
    <col min="13323" max="13323" width="19.28515625" style="271" customWidth="1"/>
    <col min="13324" max="13324" width="23.42578125" style="271" customWidth="1"/>
    <col min="13325" max="13325" width="16.7109375" style="271" customWidth="1"/>
    <col min="13326" max="13326" width="21.7109375" style="271" customWidth="1"/>
    <col min="13327" max="13568" width="11.42578125" style="271"/>
    <col min="13569" max="13569" width="3.42578125" style="271" customWidth="1"/>
    <col min="13570" max="13570" width="23.7109375" style="271" customWidth="1"/>
    <col min="13571" max="13571" width="22.42578125" style="271" customWidth="1"/>
    <col min="13572" max="13572" width="25" style="271" customWidth="1"/>
    <col min="13573" max="13573" width="24" style="271" customWidth="1"/>
    <col min="13574" max="13574" width="28.42578125" style="271" customWidth="1"/>
    <col min="13575" max="13575" width="20.42578125" style="271" customWidth="1"/>
    <col min="13576" max="13576" width="18.140625" style="271" customWidth="1"/>
    <col min="13577" max="13577" width="18.7109375" style="271" customWidth="1"/>
    <col min="13578" max="13578" width="18.42578125" style="271" customWidth="1"/>
    <col min="13579" max="13579" width="19.28515625" style="271" customWidth="1"/>
    <col min="13580" max="13580" width="23.42578125" style="271" customWidth="1"/>
    <col min="13581" max="13581" width="16.7109375" style="271" customWidth="1"/>
    <col min="13582" max="13582" width="21.7109375" style="271" customWidth="1"/>
    <col min="13583" max="13824" width="11.42578125" style="271"/>
    <col min="13825" max="13825" width="3.42578125" style="271" customWidth="1"/>
    <col min="13826" max="13826" width="23.7109375" style="271" customWidth="1"/>
    <col min="13827" max="13827" width="22.42578125" style="271" customWidth="1"/>
    <col min="13828" max="13828" width="25" style="271" customWidth="1"/>
    <col min="13829" max="13829" width="24" style="271" customWidth="1"/>
    <col min="13830" max="13830" width="28.42578125" style="271" customWidth="1"/>
    <col min="13831" max="13831" width="20.42578125" style="271" customWidth="1"/>
    <col min="13832" max="13832" width="18.140625" style="271" customWidth="1"/>
    <col min="13833" max="13833" width="18.7109375" style="271" customWidth="1"/>
    <col min="13834" max="13834" width="18.42578125" style="271" customWidth="1"/>
    <col min="13835" max="13835" width="19.28515625" style="271" customWidth="1"/>
    <col min="13836" max="13836" width="23.42578125" style="271" customWidth="1"/>
    <col min="13837" max="13837" width="16.7109375" style="271" customWidth="1"/>
    <col min="13838" max="13838" width="21.7109375" style="271" customWidth="1"/>
    <col min="13839" max="14080" width="11.42578125" style="271"/>
    <col min="14081" max="14081" width="3.42578125" style="271" customWidth="1"/>
    <col min="14082" max="14082" width="23.7109375" style="271" customWidth="1"/>
    <col min="14083" max="14083" width="22.42578125" style="271" customWidth="1"/>
    <col min="14084" max="14084" width="25" style="271" customWidth="1"/>
    <col min="14085" max="14085" width="24" style="271" customWidth="1"/>
    <col min="14086" max="14086" width="28.42578125" style="271" customWidth="1"/>
    <col min="14087" max="14087" width="20.42578125" style="271" customWidth="1"/>
    <col min="14088" max="14088" width="18.140625" style="271" customWidth="1"/>
    <col min="14089" max="14089" width="18.7109375" style="271" customWidth="1"/>
    <col min="14090" max="14090" width="18.42578125" style="271" customWidth="1"/>
    <col min="14091" max="14091" width="19.28515625" style="271" customWidth="1"/>
    <col min="14092" max="14092" width="23.42578125" style="271" customWidth="1"/>
    <col min="14093" max="14093" width="16.7109375" style="271" customWidth="1"/>
    <col min="14094" max="14094" width="21.7109375" style="271" customWidth="1"/>
    <col min="14095" max="14336" width="11.42578125" style="271"/>
    <col min="14337" max="14337" width="3.42578125" style="271" customWidth="1"/>
    <col min="14338" max="14338" width="23.7109375" style="271" customWidth="1"/>
    <col min="14339" max="14339" width="22.42578125" style="271" customWidth="1"/>
    <col min="14340" max="14340" width="25" style="271" customWidth="1"/>
    <col min="14341" max="14341" width="24" style="271" customWidth="1"/>
    <col min="14342" max="14342" width="28.42578125" style="271" customWidth="1"/>
    <col min="14343" max="14343" width="20.42578125" style="271" customWidth="1"/>
    <col min="14344" max="14344" width="18.140625" style="271" customWidth="1"/>
    <col min="14345" max="14345" width="18.7109375" style="271" customWidth="1"/>
    <col min="14346" max="14346" width="18.42578125" style="271" customWidth="1"/>
    <col min="14347" max="14347" width="19.28515625" style="271" customWidth="1"/>
    <col min="14348" max="14348" width="23.42578125" style="271" customWidth="1"/>
    <col min="14349" max="14349" width="16.7109375" style="271" customWidth="1"/>
    <col min="14350" max="14350" width="21.7109375" style="271" customWidth="1"/>
    <col min="14351" max="14592" width="11.42578125" style="271"/>
    <col min="14593" max="14593" width="3.42578125" style="271" customWidth="1"/>
    <col min="14594" max="14594" width="23.7109375" style="271" customWidth="1"/>
    <col min="14595" max="14595" width="22.42578125" style="271" customWidth="1"/>
    <col min="14596" max="14596" width="25" style="271" customWidth="1"/>
    <col min="14597" max="14597" width="24" style="271" customWidth="1"/>
    <col min="14598" max="14598" width="28.42578125" style="271" customWidth="1"/>
    <col min="14599" max="14599" width="20.42578125" style="271" customWidth="1"/>
    <col min="14600" max="14600" width="18.140625" style="271" customWidth="1"/>
    <col min="14601" max="14601" width="18.7109375" style="271" customWidth="1"/>
    <col min="14602" max="14602" width="18.42578125" style="271" customWidth="1"/>
    <col min="14603" max="14603" width="19.28515625" style="271" customWidth="1"/>
    <col min="14604" max="14604" width="23.42578125" style="271" customWidth="1"/>
    <col min="14605" max="14605" width="16.7109375" style="271" customWidth="1"/>
    <col min="14606" max="14606" width="21.7109375" style="271" customWidth="1"/>
    <col min="14607" max="14848" width="11.42578125" style="271"/>
    <col min="14849" max="14849" width="3.42578125" style="271" customWidth="1"/>
    <col min="14850" max="14850" width="23.7109375" style="271" customWidth="1"/>
    <col min="14851" max="14851" width="22.42578125" style="271" customWidth="1"/>
    <col min="14852" max="14852" width="25" style="271" customWidth="1"/>
    <col min="14853" max="14853" width="24" style="271" customWidth="1"/>
    <col min="14854" max="14854" width="28.42578125" style="271" customWidth="1"/>
    <col min="14855" max="14855" width="20.42578125" style="271" customWidth="1"/>
    <col min="14856" max="14856" width="18.140625" style="271" customWidth="1"/>
    <col min="14857" max="14857" width="18.7109375" style="271" customWidth="1"/>
    <col min="14858" max="14858" width="18.42578125" style="271" customWidth="1"/>
    <col min="14859" max="14859" width="19.28515625" style="271" customWidth="1"/>
    <col min="14860" max="14860" width="23.42578125" style="271" customWidth="1"/>
    <col min="14861" max="14861" width="16.7109375" style="271" customWidth="1"/>
    <col min="14862" max="14862" width="21.7109375" style="271" customWidth="1"/>
    <col min="14863" max="15104" width="11.42578125" style="271"/>
    <col min="15105" max="15105" width="3.42578125" style="271" customWidth="1"/>
    <col min="15106" max="15106" width="23.7109375" style="271" customWidth="1"/>
    <col min="15107" max="15107" width="22.42578125" style="271" customWidth="1"/>
    <col min="15108" max="15108" width="25" style="271" customWidth="1"/>
    <col min="15109" max="15109" width="24" style="271" customWidth="1"/>
    <col min="15110" max="15110" width="28.42578125" style="271" customWidth="1"/>
    <col min="15111" max="15111" width="20.42578125" style="271" customWidth="1"/>
    <col min="15112" max="15112" width="18.140625" style="271" customWidth="1"/>
    <col min="15113" max="15113" width="18.7109375" style="271" customWidth="1"/>
    <col min="15114" max="15114" width="18.42578125" style="271" customWidth="1"/>
    <col min="15115" max="15115" width="19.28515625" style="271" customWidth="1"/>
    <col min="15116" max="15116" width="23.42578125" style="271" customWidth="1"/>
    <col min="15117" max="15117" width="16.7109375" style="271" customWidth="1"/>
    <col min="15118" max="15118" width="21.7109375" style="271" customWidth="1"/>
    <col min="15119" max="15360" width="11.42578125" style="271"/>
    <col min="15361" max="15361" width="3.42578125" style="271" customWidth="1"/>
    <col min="15362" max="15362" width="23.7109375" style="271" customWidth="1"/>
    <col min="15363" max="15363" width="22.42578125" style="271" customWidth="1"/>
    <col min="15364" max="15364" width="25" style="271" customWidth="1"/>
    <col min="15365" max="15365" width="24" style="271" customWidth="1"/>
    <col min="15366" max="15366" width="28.42578125" style="271" customWidth="1"/>
    <col min="15367" max="15367" width="20.42578125" style="271" customWidth="1"/>
    <col min="15368" max="15368" width="18.140625" style="271" customWidth="1"/>
    <col min="15369" max="15369" width="18.7109375" style="271" customWidth="1"/>
    <col min="15370" max="15370" width="18.42578125" style="271" customWidth="1"/>
    <col min="15371" max="15371" width="19.28515625" style="271" customWidth="1"/>
    <col min="15372" max="15372" width="23.42578125" style="271" customWidth="1"/>
    <col min="15373" max="15373" width="16.7109375" style="271" customWidth="1"/>
    <col min="15374" max="15374" width="21.7109375" style="271" customWidth="1"/>
    <col min="15375" max="15616" width="11.42578125" style="271"/>
    <col min="15617" max="15617" width="3.42578125" style="271" customWidth="1"/>
    <col min="15618" max="15618" width="23.7109375" style="271" customWidth="1"/>
    <col min="15619" max="15619" width="22.42578125" style="271" customWidth="1"/>
    <col min="15620" max="15620" width="25" style="271" customWidth="1"/>
    <col min="15621" max="15621" width="24" style="271" customWidth="1"/>
    <col min="15622" max="15622" width="28.42578125" style="271" customWidth="1"/>
    <col min="15623" max="15623" width="20.42578125" style="271" customWidth="1"/>
    <col min="15624" max="15624" width="18.140625" style="271" customWidth="1"/>
    <col min="15625" max="15625" width="18.7109375" style="271" customWidth="1"/>
    <col min="15626" max="15626" width="18.42578125" style="271" customWidth="1"/>
    <col min="15627" max="15627" width="19.28515625" style="271" customWidth="1"/>
    <col min="15628" max="15628" width="23.42578125" style="271" customWidth="1"/>
    <col min="15629" max="15629" width="16.7109375" style="271" customWidth="1"/>
    <col min="15630" max="15630" width="21.7109375" style="271" customWidth="1"/>
    <col min="15631" max="15872" width="11.42578125" style="271"/>
    <col min="15873" max="15873" width="3.42578125" style="271" customWidth="1"/>
    <col min="15874" max="15874" width="23.7109375" style="271" customWidth="1"/>
    <col min="15875" max="15875" width="22.42578125" style="271" customWidth="1"/>
    <col min="15876" max="15876" width="25" style="271" customWidth="1"/>
    <col min="15877" max="15877" width="24" style="271" customWidth="1"/>
    <col min="15878" max="15878" width="28.42578125" style="271" customWidth="1"/>
    <col min="15879" max="15879" width="20.42578125" style="271" customWidth="1"/>
    <col min="15880" max="15880" width="18.140625" style="271" customWidth="1"/>
    <col min="15881" max="15881" width="18.7109375" style="271" customWidth="1"/>
    <col min="15882" max="15882" width="18.42578125" style="271" customWidth="1"/>
    <col min="15883" max="15883" width="19.28515625" style="271" customWidth="1"/>
    <col min="15884" max="15884" width="23.42578125" style="271" customWidth="1"/>
    <col min="15885" max="15885" width="16.7109375" style="271" customWidth="1"/>
    <col min="15886" max="15886" width="21.7109375" style="271" customWidth="1"/>
    <col min="15887" max="16128" width="11.42578125" style="271"/>
    <col min="16129" max="16129" width="3.42578125" style="271" customWidth="1"/>
    <col min="16130" max="16130" width="23.7109375" style="271" customWidth="1"/>
    <col min="16131" max="16131" width="22.42578125" style="271" customWidth="1"/>
    <col min="16132" max="16132" width="25" style="271" customWidth="1"/>
    <col min="16133" max="16133" width="24" style="271" customWidth="1"/>
    <col min="16134" max="16134" width="28.42578125" style="271" customWidth="1"/>
    <col min="16135" max="16135" width="20.42578125" style="271" customWidth="1"/>
    <col min="16136" max="16136" width="18.140625" style="271" customWidth="1"/>
    <col min="16137" max="16137" width="18.7109375" style="271" customWidth="1"/>
    <col min="16138" max="16138" width="18.42578125" style="271" customWidth="1"/>
    <col min="16139" max="16139" width="19.28515625" style="271" customWidth="1"/>
    <col min="16140" max="16140" width="23.42578125" style="271" customWidth="1"/>
    <col min="16141" max="16141" width="16.7109375" style="271" customWidth="1"/>
    <col min="16142" max="16142" width="21.7109375" style="271" customWidth="1"/>
    <col min="16143" max="16384" width="11.42578125" style="271"/>
  </cols>
  <sheetData>
    <row r="1" spans="2:19" s="11" customFormat="1" ht="36.75" customHeight="1" x14ac:dyDescent="0.2">
      <c r="B1" s="1985"/>
      <c r="C1" s="1991" t="s">
        <v>1694</v>
      </c>
      <c r="D1" s="1992"/>
      <c r="E1" s="1992"/>
      <c r="F1" s="1992"/>
      <c r="G1" s="1992"/>
      <c r="H1" s="1993"/>
      <c r="I1" s="1094" t="s">
        <v>1695</v>
      </c>
    </row>
    <row r="2" spans="2:19" s="11" customFormat="1" ht="21" customHeight="1" x14ac:dyDescent="0.2">
      <c r="B2" s="1985"/>
      <c r="C2" s="1994"/>
      <c r="D2" s="1995"/>
      <c r="E2" s="1995"/>
      <c r="F2" s="1995"/>
      <c r="G2" s="1995"/>
      <c r="H2" s="1996"/>
      <c r="I2" s="1094" t="s">
        <v>1936</v>
      </c>
    </row>
    <row r="3" spans="2:19" ht="18.75" customHeight="1" x14ac:dyDescent="0.25">
      <c r="B3" s="1963"/>
      <c r="C3" s="1986"/>
      <c r="D3" s="1986"/>
      <c r="E3" s="1986"/>
      <c r="F3" s="1986"/>
      <c r="G3" s="1986"/>
      <c r="H3" s="1986"/>
      <c r="I3" s="1986"/>
    </row>
    <row r="4" spans="2:19" ht="28.5" hidden="1" customHeight="1" x14ac:dyDescent="0.25">
      <c r="B4" s="1963"/>
      <c r="C4" s="1963"/>
      <c r="D4" s="1963"/>
      <c r="E4" s="1963"/>
      <c r="F4" s="1963"/>
      <c r="G4" s="1963"/>
      <c r="H4" s="1963"/>
      <c r="I4" s="1963"/>
    </row>
    <row r="5" spans="2:19" ht="29.25" customHeight="1" x14ac:dyDescent="0.25">
      <c r="B5" s="312" t="s">
        <v>118</v>
      </c>
      <c r="C5" s="1987" t="str">
        <f>+FENECIMIENTO!D4</f>
        <v xml:space="preserve">150000 - DIRECCIÓN SECTOR HACIENDA </v>
      </c>
      <c r="D5" s="1987"/>
      <c r="E5" s="1987"/>
      <c r="F5" s="1987"/>
      <c r="G5" s="1987"/>
      <c r="H5" s="1987"/>
      <c r="I5" s="1987"/>
      <c r="L5" s="312" t="str">
        <f>IF(C6="206 - Fondo de Prestaciones Económicas, Cesantías y Pensiones – FONCEP ","Dirección Sector:",IF(C6="262 - Empresa de Transporte del Tercer Milenio - Transmilenio S.A. ","Dirección Sector:",""))</f>
        <v>Dirección Sector:</v>
      </c>
      <c r="M5" s="1987" t="str">
        <f>IF(C6="206 - Fondo de Prestaciones Económicas, Cesantías y Pensiones – FONCEP ",FENECIMIENTO!D4,IF(C6="262 - Empresa de Transporte del Tercer Milenio - Transmilenio S.A. ",FENECIMIENTO!D4,""))</f>
        <v xml:space="preserve">150000 - DIRECCIÓN SECTOR HACIENDA </v>
      </c>
      <c r="N5" s="1987"/>
      <c r="O5" s="1987"/>
      <c r="P5" s="1987"/>
      <c r="Q5" s="1987"/>
      <c r="R5" s="1987"/>
      <c r="S5" s="1987"/>
    </row>
    <row r="6" spans="2:19" ht="45" customHeight="1" x14ac:dyDescent="0.25">
      <c r="B6" s="312" t="s">
        <v>1</v>
      </c>
      <c r="C6" s="1988" t="str">
        <f>+FENECIMIENTO!D5</f>
        <v xml:space="preserve">206 - Fondo de Prestaciones Económicas, Cesantías y Pensiones – FONCEP </v>
      </c>
      <c r="D6" s="1989"/>
      <c r="E6" s="1989"/>
      <c r="F6" s="313" t="s">
        <v>2</v>
      </c>
      <c r="G6" s="1990">
        <f>+FENECIMIENTO!K5</f>
        <v>2024</v>
      </c>
      <c r="H6" s="1990"/>
      <c r="I6" s="1990"/>
      <c r="L6" s="312" t="str">
        <f>IF(C6="206 - Fondo de Prestaciones Económicas, Cesantías y Pensiones – FONCEP ","Sujeto de Control auditado:",IF(C6="262 - Empresa de Transporte del Tercer Milenio - Transmilenio S.A. ","Sujeto de Control auditado:",""))</f>
        <v>Sujeto de Control auditado:</v>
      </c>
      <c r="M6" s="1988" t="str">
        <f>IF(C6="206 - Fondo de Prestaciones Económicas, Cesantías y Pensiones – FONCEP ","Fondo de Pensiones Públicas de Bogotá – FPPB",IF(C6="262 - Empresa de Transporte del Tercer Milenio - Transmilenio S.A. ","Sistema Intregado de Transporte Público-SITP",""))</f>
        <v>Fondo de Pensiones Públicas de Bogotá – FPPB</v>
      </c>
      <c r="N6" s="1989"/>
      <c r="O6" s="1989"/>
      <c r="P6" s="313" t="str">
        <f>IF(C6="206 - Fondo de Prestaciones Económicas, Cesantías y Pensiones – FONCEP ","Vigencia auditada:",IF(C6="262 - Empresa de Transporte del Tercer Milenio - Transmilenio S.A. ","Vigencia auditada:",""))</f>
        <v>Vigencia auditada:</v>
      </c>
      <c r="Q6" s="1990">
        <f>IF(C6="206 - Fondo de Prestaciones Económicas, Cesantías y Pensiones – FONCEP ",FENECIMIENTO!K5,IF(C6="262 - Empresa de Transporte del Tercer Milenio - Transmilenio S.A. ",FENECIMIENTO!K5,""))</f>
        <v>2024</v>
      </c>
      <c r="R6" s="1990"/>
      <c r="S6" s="1990"/>
    </row>
    <row r="7" spans="2:19" ht="29.25" customHeight="1" x14ac:dyDescent="0.25">
      <c r="B7" s="312" t="s">
        <v>1684</v>
      </c>
      <c r="C7" s="1998">
        <f>+FENECIMIENTO!D6</f>
        <v>2025</v>
      </c>
      <c r="D7" s="1998"/>
      <c r="E7" s="1998"/>
      <c r="F7" s="313" t="s">
        <v>680</v>
      </c>
      <c r="G7" s="1990">
        <f>+FENECIMIENTO!K6</f>
        <v>87</v>
      </c>
      <c r="H7" s="1990"/>
      <c r="I7" s="1990"/>
      <c r="L7" s="312" t="str">
        <f>IF(C6="206 - Fondo de Prestaciones Económicas, Cesantías y Pensiones – FONCEP ","PDVCF:",IF(C6="262 - Empresa de Transporte del Tercer Milenio - Transmilenio S.A. ","PDVCF:",""))</f>
        <v>PDVCF:</v>
      </c>
      <c r="M7" s="1998">
        <f>IF(C6="206 - Fondo de Prestaciones Económicas, Cesantías y Pensiones – FONCEP ",FENECIMIENTO!D6,IF(C6="262 - Empresa de Transporte del Tercer Milenio - Transmilenio S.A. ",FENECIMIENTO!D6,""))</f>
        <v>2025</v>
      </c>
      <c r="N7" s="1998"/>
      <c r="O7" s="1998"/>
      <c r="P7" s="313" t="str">
        <f>IF(C6="206 - Fondo de Prestaciones Económicas, Cesantías y Pensiones – FONCEP ","Código de Auditoría:",IF(C6="262 - Empresa de Transporte del Tercer Milenio - Transmilenio S.A. ","Código de Auditoría:",""))</f>
        <v>Código de Auditoría:</v>
      </c>
      <c r="Q7" s="1990">
        <f>IF(C6="206 - Fondo de Prestaciones Económicas, Cesantías y Pensiones – FONCEP ",FENECIMIENTO!K6,IF(C6="262 - Empresa de Transporte del Tercer Milenio - Transmilenio S.A. ",FENECIMIENTO!K6,""))</f>
        <v>87</v>
      </c>
      <c r="R7" s="1990"/>
      <c r="S7" s="1990"/>
    </row>
    <row r="8" spans="2:19" ht="29.25" customHeight="1" x14ac:dyDescent="0.25">
      <c r="C8" s="314"/>
      <c r="D8" s="314"/>
      <c r="E8" s="314"/>
      <c r="F8" s="315"/>
      <c r="G8" s="989"/>
      <c r="H8" s="989"/>
      <c r="I8" s="989"/>
      <c r="M8" s="1650"/>
      <c r="N8" s="1650"/>
      <c r="O8" s="1650"/>
      <c r="P8" s="315"/>
      <c r="Q8" s="1637"/>
      <c r="R8" s="1637"/>
      <c r="S8" s="1637"/>
    </row>
    <row r="9" spans="2:19" s="11" customFormat="1" ht="33" customHeight="1" x14ac:dyDescent="0.2">
      <c r="B9" s="1999" t="s">
        <v>681</v>
      </c>
      <c r="C9" s="1999"/>
      <c r="D9" s="1999"/>
      <c r="E9" s="1999"/>
      <c r="F9" s="1999"/>
      <c r="G9" s="1999"/>
      <c r="H9" s="1999"/>
      <c r="I9" s="1999"/>
      <c r="J9" s="50"/>
      <c r="L9" s="2010" t="str">
        <f>IF(C6="206 - Fondo de Prestaciones Económicas, Cesantías y Pensiones – FONCEP ","ASPECTOS A TENER EN CUENTA PARA DEFINIR LA MATERIALIDAD CUANTITATIVA PARA ESTADOS FINANCIEROS EN SU CONJUNTO.",IF(C6="262 - Empresa de Transporte del Tercer Milenio - Transmilenio S.A. ","ASPECTOS A TENER EN CUENTA PARA DEFINIR LA MATERIALIDAD CUANTITATIVA PARA ESTADOS FINANCIEROS EN SU CONJUNTO.",""))</f>
        <v>ASPECTOS A TENER EN CUENTA PARA DEFINIR LA MATERIALIDAD CUANTITATIVA PARA ESTADOS FINANCIEROS EN SU CONJUNTO.</v>
      </c>
      <c r="M9" s="2010"/>
      <c r="N9" s="2010"/>
      <c r="O9" s="2010"/>
      <c r="P9" s="2010"/>
      <c r="Q9" s="2010"/>
      <c r="R9" s="2010"/>
      <c r="S9" s="2010"/>
    </row>
    <row r="10" spans="2:19" x14ac:dyDescent="0.25">
      <c r="C10" s="316"/>
      <c r="D10" s="310"/>
      <c r="E10" s="315"/>
      <c r="F10" s="314"/>
      <c r="M10" s="1651"/>
      <c r="O10" s="315"/>
      <c r="P10" s="1650"/>
    </row>
    <row r="11" spans="2:19" ht="229.5" customHeight="1" x14ac:dyDescent="0.25">
      <c r="B11" s="2000" t="s">
        <v>682</v>
      </c>
      <c r="C11" s="2000"/>
      <c r="D11" s="2000"/>
      <c r="E11" s="2000"/>
      <c r="F11" s="2000"/>
      <c r="G11" s="2000"/>
      <c r="H11" s="2000"/>
      <c r="I11" s="2000"/>
      <c r="L11" s="2011" t="str">
        <f>IF(C6="206 - Fondo de Prestaciones Económicas, Cesantías y Pensiones – FONCEP ",B11,IF(C6="262 - Empresa de Transporte del Tercer Milenio - Transmilenio S.A. ",B11,""))</f>
        <v>MATERIALIDAD CUANTITATIVA PARA LAS INCORRECCIONES E IMPOSIBILIDADES 
Este instrumento está compuesto por las siguientes secciones:
1. Criterios para clasificación de riesgo del proceso de estados financieros.
2. Aplicación de criterios para la clasificación de riesgo del sujeto de vigilancia y control fiscal.
3. Base y Porcentaje referente Para Establecer La Materialidad.
4. materialidad determinada para el sujeto de vigilancia y control fiscal.
5. estructura de niveles, rangos para determinar la materialidad de los sujetos de vigilancia y control fiscal.
6. materialidad determinada para el sujeto de control y parametrización del momento en que surgen las opiniones modificadas.</v>
      </c>
      <c r="M11" s="2000"/>
      <c r="N11" s="2000"/>
      <c r="O11" s="2000"/>
      <c r="P11" s="2000"/>
      <c r="Q11" s="2000"/>
      <c r="R11" s="2000"/>
      <c r="S11" s="2000"/>
    </row>
    <row r="12" spans="2:19" ht="8.25" customHeight="1" x14ac:dyDescent="0.25">
      <c r="B12" s="317"/>
      <c r="E12" s="317"/>
      <c r="L12" s="317"/>
      <c r="O12" s="317"/>
    </row>
    <row r="13" spans="2:19" ht="15.75" x14ac:dyDescent="0.25">
      <c r="B13" s="2001" t="s">
        <v>683</v>
      </c>
      <c r="C13" s="2001"/>
      <c r="D13" s="2001"/>
      <c r="E13" s="2001"/>
      <c r="F13" s="2001"/>
      <c r="G13" s="2001"/>
      <c r="H13" s="2001"/>
      <c r="I13" s="2001"/>
      <c r="L13" s="2001" t="str">
        <f>IF(C6="206 - Fondo de Prestaciones Económicas, Cesantías y Pensiones – FONCEP ","MATERIALIDAD CUANTITATIVA - PARA INCORRECCIONES E IMPOSIBILIDADES O SU SUMATORIA",IF(C6="262 - Empresa de Transporte del Tercer Milenio - Transmilenio S.A. ","MATERIALIDAD CUANTITATIVA - PARA INCORRECCIONES E IMPOSIBILIDADES O SU SUMATORIA",""))</f>
        <v>MATERIALIDAD CUANTITATIVA - PARA INCORRECCIONES E IMPOSIBILIDADES O SU SUMATORIA</v>
      </c>
      <c r="M13" s="2001"/>
      <c r="N13" s="2001"/>
      <c r="O13" s="2001"/>
      <c r="P13" s="2001"/>
      <c r="Q13" s="2001"/>
      <c r="R13" s="2001"/>
      <c r="S13" s="2001"/>
    </row>
    <row r="14" spans="2:19" ht="29.25" customHeight="1" x14ac:dyDescent="0.25">
      <c r="B14" s="1963" t="s">
        <v>684</v>
      </c>
      <c r="C14" s="1963"/>
      <c r="D14" s="1963"/>
      <c r="E14" s="1963"/>
      <c r="F14" s="1963"/>
      <c r="G14" s="1963"/>
      <c r="H14" s="1963"/>
      <c r="I14" s="1963"/>
      <c r="J14" s="318"/>
      <c r="K14" s="318"/>
      <c r="L14" s="1963" t="str">
        <f>IF(C6="206 - Fondo de Prestaciones Económicas, Cesantías y Pensiones – FONCEP ",B14,IF(C6="262 - Empresa de Transporte del Tercer Milenio - Transmilenio S.A. ",B14,""))</f>
        <v>1. CRITERIOS PARA CLASIFICACIÓN DE RIESGO DEL PROCESO DE ESTADOS FINANCIEROS (Sección Informativa no requiere ningún diligenciamiento):</v>
      </c>
      <c r="M14" s="1963"/>
      <c r="N14" s="1963"/>
      <c r="O14" s="1963"/>
      <c r="P14" s="1963"/>
      <c r="Q14" s="1963"/>
      <c r="R14" s="1963"/>
      <c r="S14" s="1963"/>
    </row>
    <row r="15" spans="2:19" ht="29.25" customHeight="1" x14ac:dyDescent="0.25">
      <c r="B15" s="2003" t="s">
        <v>1701</v>
      </c>
      <c r="C15" s="2004"/>
      <c r="D15" s="2004"/>
      <c r="E15" s="2004"/>
      <c r="F15" s="2004"/>
      <c r="G15" s="2005"/>
      <c r="H15" s="2006" t="s">
        <v>1702</v>
      </c>
      <c r="I15" s="2007"/>
      <c r="J15" s="318"/>
      <c r="K15" s="318"/>
      <c r="L15" s="2003" t="str">
        <f>IF(C6="206 - Fondo de Prestaciones Económicas, Cesantías y Pensiones – FONCEP ",B15,IF(C6="262 - Empresa de Transporte del Tercer Milenio - Transmilenio S.A. ",B15,""))</f>
        <v>RESULTADOS AUDITORIA VIGENCIA ANTERIOR</v>
      </c>
      <c r="M15" s="2004"/>
      <c r="N15" s="2004"/>
      <c r="O15" s="2004"/>
      <c r="P15" s="2004"/>
      <c r="Q15" s="2005"/>
      <c r="R15" s="2006" t="str">
        <f>IF(C6="206 - Fondo de Prestaciones Económicas, Cesantías y Pensiones – FONCEP ",H15,IF(C6="262 - Empresa de Transporte del Tercer Milenio - Transmilenio S.A. ",H15,""))</f>
        <v>DATOS VIGENCIA AUDITORIA ACTUAL</v>
      </c>
      <c r="S15" s="2007"/>
    </row>
    <row r="16" spans="2:19" ht="51" x14ac:dyDescent="0.25">
      <c r="B16" s="320" t="s">
        <v>685</v>
      </c>
      <c r="C16" s="320" t="s">
        <v>211</v>
      </c>
      <c r="D16" s="320" t="s">
        <v>686</v>
      </c>
      <c r="E16" s="321" t="s">
        <v>211</v>
      </c>
      <c r="F16" s="322" t="s">
        <v>687</v>
      </c>
      <c r="G16" s="321" t="s">
        <v>211</v>
      </c>
      <c r="H16" s="320" t="s">
        <v>688</v>
      </c>
      <c r="I16" s="321" t="s">
        <v>211</v>
      </c>
      <c r="J16" s="323"/>
      <c r="K16" s="323"/>
      <c r="L16" s="320" t="str">
        <f>IF(C6="206 - Fondo de Prestaciones Económicas, Cesantías y Pensiones – FONCEP ",B16,IF(C6="262 - Empresa de Transporte del Tercer Milenio - Transmilenio S.A. ",B16,""))</f>
        <v>Opinión auditoría Estados Financieros</v>
      </c>
      <c r="M16" s="320" t="str">
        <f>IF(C6="206 - Fondo de Prestaciones Económicas, Cesantías y Pensiones – FONCEP ",C16,IF(C6="262 - Empresa de Transporte del Tercer Milenio - Transmilenio S.A. ",C16,""))</f>
        <v>CALIFICACIÓN</v>
      </c>
      <c r="N16" s="320" t="str">
        <f>IF(C6="206 - Fondo de Prestaciones Económicas, Cesantías y Pensiones – FONCEP ",D16,IF(C6="262 - Empresa de Transporte del Tercer Milenio - Transmilenio S.A. ",D16,""))</f>
        <v>Calificación Control Interno Contable - Proceso Estados Financieros</v>
      </c>
      <c r="O16" s="320" t="str">
        <f>IF(C6="206 - Fondo de Prestaciones Económicas, Cesantías y Pensiones – FONCEP ",E16,IF(C6="262 - Empresa de Transporte del Tercer Milenio - Transmilenio S.A. ",E16,""))</f>
        <v>CALIFICACIÓN</v>
      </c>
      <c r="P16" s="320" t="str">
        <f>IF(C6="206 - Fondo de Prestaciones Económicas, Cesantías y Pensiones – FONCEP ",F16,IF(C6="262 - Empresa de Transporte del Tercer Milenio - Transmilenio S.A. ",F16,""))</f>
        <v>Fenecimiento de la cuenta</v>
      </c>
      <c r="Q16" s="320" t="str">
        <f>IF(C6="206 - Fondo de Prestaciones Económicas, Cesantías y Pensiones – FONCEP ",G16,IF(C6="262 - Empresa de Transporte del Tercer Milenio - Transmilenio S.A. ",G16,""))</f>
        <v>CALIFICACIÓN</v>
      </c>
      <c r="R16" s="320" t="str">
        <f>IF(C6="206 - Fondo de Prestaciones Económicas, Cesantías y Pensiones – FONCEP ",H16,IF(C6="262 - Empresa de Transporte del Tercer Milenio - Transmilenio S.A. ",H16,""))</f>
        <v>Riesgo Residual o Combinado - Proceso Estados Financieros</v>
      </c>
      <c r="S16" s="320" t="str">
        <f>IF(C6="206 - Fondo de Prestaciones Económicas, Cesantías y Pensiones – FONCEP ",I16,IF(C6="262 - Empresa de Transporte del Tercer Milenio - Transmilenio S.A. ",I16,""))</f>
        <v>CALIFICACIÓN</v>
      </c>
    </row>
    <row r="17" spans="2:19" x14ac:dyDescent="0.25">
      <c r="B17" s="1291" t="s">
        <v>1700</v>
      </c>
      <c r="C17" s="339">
        <v>0</v>
      </c>
      <c r="D17" s="1291" t="s">
        <v>1700</v>
      </c>
      <c r="E17" s="339">
        <v>0</v>
      </c>
      <c r="F17" s="1291" t="s">
        <v>1700</v>
      </c>
      <c r="G17" s="339">
        <v>0</v>
      </c>
      <c r="H17" s="1291" t="s">
        <v>156</v>
      </c>
      <c r="I17" s="339">
        <v>1</v>
      </c>
      <c r="J17" s="319"/>
      <c r="K17" s="319"/>
      <c r="L17" s="1291" t="str">
        <f t="shared" ref="L17:S17" si="0">IF($C$6="206 - Fondo de Prestaciones Económicas, Cesantías y Pensiones – FONCEP ",B17,IF($C$6="262 - Empresa de Transporte del Tercer Milenio - Transmilenio S.A. ",B17,""))</f>
        <v>No Hay</v>
      </c>
      <c r="M17" s="339">
        <f t="shared" si="0"/>
        <v>0</v>
      </c>
      <c r="N17" s="1291" t="str">
        <f t="shared" si="0"/>
        <v>No Hay</v>
      </c>
      <c r="O17" s="339">
        <f t="shared" si="0"/>
        <v>0</v>
      </c>
      <c r="P17" s="1291" t="str">
        <f t="shared" si="0"/>
        <v>No Hay</v>
      </c>
      <c r="Q17" s="339">
        <f t="shared" si="0"/>
        <v>0</v>
      </c>
      <c r="R17" s="1291" t="str">
        <f t="shared" si="0"/>
        <v>Bajo</v>
      </c>
      <c r="S17" s="339">
        <f t="shared" si="0"/>
        <v>1</v>
      </c>
    </row>
    <row r="18" spans="2:19" x14ac:dyDescent="0.25">
      <c r="B18" s="1291" t="s">
        <v>689</v>
      </c>
      <c r="C18" s="339">
        <v>1</v>
      </c>
      <c r="D18" s="1292" t="s">
        <v>157</v>
      </c>
      <c r="E18" s="339">
        <v>1</v>
      </c>
      <c r="F18" s="1291" t="s">
        <v>690</v>
      </c>
      <c r="G18" s="339">
        <v>1</v>
      </c>
      <c r="H18" s="1291" t="s">
        <v>133</v>
      </c>
      <c r="I18" s="339">
        <v>2</v>
      </c>
      <c r="J18" s="319"/>
      <c r="K18" s="319"/>
      <c r="L18" s="1291" t="str">
        <f>IF($C$6="206 - Fondo de Prestaciones Económicas, Cesantías y Pensiones – FONCEP ",B18,IF($C$6="262 - Empresa de Transporte del Tercer Milenio - Transmilenio S.A. ",B18,""))</f>
        <v>Sin salvedades</v>
      </c>
      <c r="M18" s="339">
        <f t="shared" ref="M18:M21" si="1">IF($C$6="206 - Fondo de Prestaciones Económicas, Cesantías y Pensiones – FONCEP ",C18,IF($C$6="262 - Empresa de Transporte del Tercer Milenio - Transmilenio S.A. ",C18,""))</f>
        <v>1</v>
      </c>
      <c r="N18" s="1291" t="str">
        <f t="shared" ref="N18:N20" si="2">IF($C$6="206 - Fondo de Prestaciones Económicas, Cesantías y Pensiones – FONCEP ",D18,IF($C$6="262 - Empresa de Transporte del Tercer Milenio - Transmilenio S.A. ",D18,""))</f>
        <v>Eficiente</v>
      </c>
      <c r="O18" s="339">
        <f t="shared" ref="O18:O21" si="3">IF($C$6="206 - Fondo de Prestaciones Económicas, Cesantías y Pensiones – FONCEP ",E18,IF($C$6="262 - Empresa de Transporte del Tercer Milenio - Transmilenio S.A. ",E18,""))</f>
        <v>1</v>
      </c>
      <c r="P18" s="1291" t="str">
        <f t="shared" ref="P18:P19" si="4">IF($C$6="206 - Fondo de Prestaciones Económicas, Cesantías y Pensiones – FONCEP ",F18,IF($C$6="262 - Empresa de Transporte del Tercer Milenio - Transmilenio S.A. ",F18,""))</f>
        <v>Fenecida</v>
      </c>
      <c r="Q18" s="339">
        <f t="shared" ref="Q18:Q19" si="5">IF($C$6="206 - Fondo de Prestaciones Económicas, Cesantías y Pensiones – FONCEP ",G18,IF($C$6="262 - Empresa de Transporte del Tercer Milenio - Transmilenio S.A. ",G18,""))</f>
        <v>1</v>
      </c>
      <c r="R18" s="1291" t="str">
        <f t="shared" ref="R18:R20" si="6">IF($C$6="206 - Fondo de Prestaciones Económicas, Cesantías y Pensiones – FONCEP ",H18,IF($C$6="262 - Empresa de Transporte del Tercer Milenio - Transmilenio S.A. ",H18,""))</f>
        <v>Medio</v>
      </c>
      <c r="S18" s="339">
        <f t="shared" ref="S18:S20" si="7">IF($C$6="206 - Fondo de Prestaciones Económicas, Cesantías y Pensiones – FONCEP ",I18,IF($C$6="262 - Empresa de Transporte del Tercer Milenio - Transmilenio S.A. ",I18,""))</f>
        <v>2</v>
      </c>
    </row>
    <row r="19" spans="2:19" x14ac:dyDescent="0.25">
      <c r="B19" s="1291" t="s">
        <v>691</v>
      </c>
      <c r="C19" s="339">
        <v>2</v>
      </c>
      <c r="D19" s="1291" t="s">
        <v>132</v>
      </c>
      <c r="E19" s="1293">
        <v>2</v>
      </c>
      <c r="F19" s="1291" t="s">
        <v>692</v>
      </c>
      <c r="G19" s="339">
        <v>4</v>
      </c>
      <c r="H19" s="1291" t="s">
        <v>154</v>
      </c>
      <c r="I19" s="339">
        <v>3</v>
      </c>
      <c r="J19" s="318"/>
      <c r="K19" s="318"/>
      <c r="L19" s="1291" t="str">
        <f t="shared" ref="L19:L20" si="8">IF($C$6="206 - Fondo de Prestaciones Económicas, Cesantías y Pensiones – FONCEP ",B19,IF($C$6="262 - Empresa de Transporte del Tercer Milenio - Transmilenio S.A. ",B19,""))</f>
        <v>Con salvedades</v>
      </c>
      <c r="M19" s="339">
        <f t="shared" si="1"/>
        <v>2</v>
      </c>
      <c r="N19" s="1291" t="str">
        <f t="shared" si="2"/>
        <v>Con deficiencias</v>
      </c>
      <c r="O19" s="339">
        <f t="shared" si="3"/>
        <v>2</v>
      </c>
      <c r="P19" s="1291" t="str">
        <f t="shared" si="4"/>
        <v>No fenecida</v>
      </c>
      <c r="Q19" s="339">
        <f t="shared" si="5"/>
        <v>4</v>
      </c>
      <c r="R19" s="1291" t="str">
        <f t="shared" si="6"/>
        <v>Alto</v>
      </c>
      <c r="S19" s="339">
        <f t="shared" si="7"/>
        <v>3</v>
      </c>
    </row>
    <row r="20" spans="2:19" x14ac:dyDescent="0.25">
      <c r="B20" s="1291" t="s">
        <v>538</v>
      </c>
      <c r="C20" s="328">
        <v>3</v>
      </c>
      <c r="D20" s="1292" t="s">
        <v>155</v>
      </c>
      <c r="E20" s="339">
        <v>3</v>
      </c>
      <c r="F20" s="312"/>
      <c r="G20" s="1294"/>
      <c r="H20" s="1295" t="s">
        <v>693</v>
      </c>
      <c r="I20" s="1293">
        <v>4</v>
      </c>
      <c r="J20" s="318"/>
      <c r="K20" s="318"/>
      <c r="L20" s="1291" t="str">
        <f t="shared" si="8"/>
        <v>Negativa</v>
      </c>
      <c r="M20" s="339">
        <f t="shared" si="1"/>
        <v>3</v>
      </c>
      <c r="N20" s="1291" t="str">
        <f t="shared" si="2"/>
        <v>Ineficiente</v>
      </c>
      <c r="O20" s="339">
        <f t="shared" si="3"/>
        <v>3</v>
      </c>
      <c r="P20" s="312"/>
      <c r="Q20" s="1294"/>
      <c r="R20" s="1291" t="str">
        <f t="shared" si="6"/>
        <v>Critico</v>
      </c>
      <c r="S20" s="339">
        <f t="shared" si="7"/>
        <v>4</v>
      </c>
    </row>
    <row r="21" spans="2:19" x14ac:dyDescent="0.25">
      <c r="B21" s="1292" t="s">
        <v>544</v>
      </c>
      <c r="C21" s="328">
        <v>4</v>
      </c>
      <c r="D21" s="1292" t="s">
        <v>153</v>
      </c>
      <c r="E21" s="339">
        <v>4</v>
      </c>
      <c r="F21" s="312"/>
      <c r="G21" s="312"/>
      <c r="H21" s="312"/>
      <c r="I21" s="312"/>
      <c r="J21" s="329"/>
      <c r="K21" s="329"/>
      <c r="L21" s="1291" t="str">
        <f>IF($C$6="206 - Fondo de Prestaciones Económicas, Cesantías y Pensiones – FONCEP ",B21,IF($C$6="262 - Empresa de Transporte del Tercer Milenio - Transmilenio S.A. ",B21,""))</f>
        <v>Abstención</v>
      </c>
      <c r="M21" s="339">
        <f t="shared" si="1"/>
        <v>4</v>
      </c>
      <c r="N21" s="1291" t="str">
        <f>IF($C$6="206 - Fondo de Prestaciones Económicas, Cesantías y Pensiones – FONCEP ",D21,IF($C$6="262 - Empresa de Transporte del Tercer Milenio - Transmilenio S.A. ",D21,""))</f>
        <v>Inexistente</v>
      </c>
      <c r="O21" s="339">
        <f t="shared" si="3"/>
        <v>4</v>
      </c>
      <c r="P21" s="312"/>
      <c r="Q21" s="312"/>
      <c r="R21" s="312"/>
      <c r="S21" s="312"/>
    </row>
    <row r="22" spans="2:19" x14ac:dyDescent="0.25">
      <c r="B22" s="1222">
        <f>IF(B30="Abstención",4,IF(B30="Negativa",3,IF(B30="Con salvedades",2,IF(B30="Sin salvedades",1,IF(B30="No Hay",0)))))</f>
        <v>0</v>
      </c>
      <c r="C22" s="1222"/>
      <c r="D22" s="1222">
        <f>IF(C30="Ineficiente",3,IF(C30="Con deficiencias",2,IF(C30="Eficiente",1,IF(C30="Inexistente",4,IF(C30="No Hay",0)))))</f>
        <v>0</v>
      </c>
      <c r="E22" s="1222"/>
      <c r="F22" s="1222">
        <f>IF(D30="No fenecida",4,IF(D30="Fenecida",1,IF(D30="No Hay",0)))</f>
        <v>0</v>
      </c>
      <c r="G22" s="1222"/>
      <c r="H22" s="1222">
        <f>IF(E30="Critico",4,IF(E30="Alto",3,IF(E30="Medio",2,IF(E30="Bajo",1,0))))</f>
        <v>1</v>
      </c>
      <c r="I22" s="1222"/>
      <c r="J22" s="329"/>
      <c r="K22" s="329"/>
      <c r="L22" s="1635">
        <f>IF(C6="206 - Fondo de Prestaciones Económicas, Cesantías y Pensiones – FONCEP ",IF(L30="Abstención",4,IF(L30="Negativa",3,IF(L30="Con salvedades",2,IF(L30="Sin salvedades",1,0)))),IF(C6="262 - Empresa de Transporte del Tercer Milenio - Transmilenio S.A. ",IF(L30="Abstención",4,IF(L30="Negativa",3,IF(L30="Con salvedades",2,IF(L30="Sin salvedades",1,IF(L30="No hay",0)))))))</f>
        <v>0</v>
      </c>
      <c r="M22" s="1635"/>
      <c r="N22" s="1635">
        <f>IF(C6="206 - Fondo de Prestaciones Económicas, Cesantías y Pensiones – FONCEP ",IF(M30="Ineficiente",3,IF(M30="Con deficiencias",2,IF(M30="Eficiente",1,IF(M30="Inexistente",4,IF(M30="No Hay",0))))),IF(C6="262 - Empresa de Transporte del Tercer Milenio - Transmilenio S.A. ",IF(M30="Ineficiente",3,IF(M30="Con deficiencias",2,IF(M30="Eficiente",1,IF(M30="Inexistente",4,IF(M30="No Hay",0)))))))</f>
        <v>0</v>
      </c>
      <c r="O22" s="1635"/>
      <c r="P22" s="1635">
        <f>IF(C6="206 - Fondo de Prestaciones Económicas, Cesantías y Pensiones – FONCEP ",IF(N30="No fenecida",4,IF(N30="Fenecida",1,IF(N30="No Hay",0))),IF(C6="262 - Empresa de Transporte del Tercer Milenio - Transmilenio S.A. ",IF(N30="No fenecida",4,IF(N30="Fenecida",1,IF(N30="No Hay",0)))))</f>
        <v>0</v>
      </c>
      <c r="Q22" s="1635"/>
      <c r="R22" s="1635">
        <f>IF(C6="206 - Fondo de Prestaciones Económicas, Cesantías y Pensiones – FONCEP ",IF(O30="Critico",4,IF(O30="Alto",3,IF(O30="Medio",2,IF(O30="Bajo",1,0)))),IF(C6="262 - Empresa de Transporte del Tercer Milenio - Transmilenio S.A. ",IF(O30="Critico",4,IF(O30="Alto",3,IF(O30="Medio",2,IF(O30="Bajo",1,0))))))</f>
        <v>1</v>
      </c>
      <c r="S22" s="1635"/>
    </row>
    <row r="23" spans="2:19" x14ac:dyDescent="0.25">
      <c r="B23" s="1221"/>
      <c r="C23" s="1221"/>
      <c r="D23" s="1221"/>
      <c r="E23" s="1221"/>
      <c r="F23" s="1221"/>
      <c r="G23" s="1221"/>
      <c r="H23" s="336"/>
      <c r="I23" s="1221"/>
      <c r="J23" s="329"/>
      <c r="K23" s="329"/>
      <c r="L23" s="1634"/>
      <c r="M23" s="1634"/>
      <c r="N23" s="1634"/>
      <c r="O23" s="1634"/>
      <c r="P23" s="1634"/>
      <c r="Q23" s="1634"/>
      <c r="R23" s="336"/>
      <c r="S23" s="1634"/>
    </row>
    <row r="24" spans="2:19" ht="75" customHeight="1" x14ac:dyDescent="0.25">
      <c r="B24" s="1979" t="s">
        <v>694</v>
      </c>
      <c r="C24" s="1979"/>
      <c r="D24" s="1979"/>
      <c r="E24" s="1979"/>
      <c r="F24" s="1979"/>
      <c r="G24" s="1979"/>
      <c r="H24" s="1979"/>
      <c r="I24" s="1979"/>
      <c r="J24" s="329"/>
      <c r="K24" s="329"/>
      <c r="L24" s="1979" t="str">
        <f>IF(C6="206 - Fondo de Prestaciones Económicas, Cesantías y Pensiones – FONCEP ",B24,IF(C6="262 - Empresa de Transporte del Tercer Milenio - Transmilenio S.A. ",B24,""))</f>
        <v>Dado que la materialidad se encuentra directamente relacionada con el nivel de riesgo del sujeto de control, en esta sección se presentan los criterios utilizados para establecer el nivel de riesgo de auditoría del proceso de Estados Financieros del Sujeto de Vigilancia y Control Fiscal, de los cuales 3 corresponden a la auditoría de Regularidad o Financiera y de Gestión anterior (Opinión sobre los Estados Financieros, la Calificación de Control Interno Contable y el Fenecimiento de la Cuenta) y uno a la presente auditoría que corresponde al Riesgo Residual o Combinado – Proceso Estados Financieros.</v>
      </c>
      <c r="M24" s="1979"/>
      <c r="N24" s="1979"/>
      <c r="O24" s="1979"/>
      <c r="P24" s="1979"/>
      <c r="Q24" s="1979"/>
      <c r="R24" s="1979"/>
      <c r="S24" s="1979"/>
    </row>
    <row r="25" spans="2:19" x14ac:dyDescent="0.25">
      <c r="B25" s="1221"/>
      <c r="C25" s="1221"/>
      <c r="D25" s="1221"/>
      <c r="E25" s="1221"/>
      <c r="F25" s="1221"/>
      <c r="G25" s="1221"/>
      <c r="H25" s="336"/>
      <c r="I25" s="1221"/>
      <c r="J25" s="329"/>
      <c r="K25" s="329"/>
      <c r="L25" s="340"/>
    </row>
    <row r="26" spans="2:19" ht="15.75" x14ac:dyDescent="0.25">
      <c r="B26" s="1936" t="str">
        <f>IF(C6="262 - Empresa de Transporte del Tercer Milenio - Transmilenio S.A. ","262 - Empresa de Transporte del Tercer Milenio - Transmilenio S.A. ","")</f>
        <v/>
      </c>
      <c r="C26" s="1936"/>
      <c r="D26" s="1936"/>
      <c r="E26" s="1936"/>
      <c r="F26" s="1221"/>
      <c r="G26" s="1221"/>
      <c r="H26" s="336"/>
      <c r="I26" s="1221"/>
      <c r="J26" s="329"/>
      <c r="K26" s="329"/>
      <c r="L26" s="1937" t="str">
        <f>IF(C6="206 - Fondo de Prestaciones Económicas, Cesantías y Pensiones – FONCEP ","Fondo de Pensiones Públicas de Bogotá – FPPB",IF(C6="262 - Empresa de Transporte del Tercer Milenio - Transmilenio S.A. ","Sistema Integrado de Transporte Público - SITP",""))</f>
        <v>Fondo de Pensiones Públicas de Bogotá – FPPB</v>
      </c>
      <c r="M26" s="1937"/>
      <c r="N26" s="1937"/>
      <c r="O26" s="1937"/>
    </row>
    <row r="27" spans="2:19" ht="42" customHeight="1" x14ac:dyDescent="0.25">
      <c r="B27" s="1938" t="s">
        <v>695</v>
      </c>
      <c r="C27" s="1938"/>
      <c r="D27" s="1938"/>
      <c r="E27" s="1938"/>
      <c r="F27" s="50"/>
      <c r="G27" s="50"/>
      <c r="I27" s="332"/>
      <c r="J27" s="330"/>
      <c r="K27" s="330"/>
      <c r="L27" s="1938" t="str">
        <f>IF(C6="206 - Fondo de Prestaciones Económicas, Cesantías y Pensiones – FONCEP ","2. APLICACIÓN DE CRITERIOS PARA LA CLASIFICACIÓN DE RIESGO DEL SUJETO DE VIGILANCIA Y CONTROL FISCAL",IF(C6="262 - Empresa de Transporte del Tercer Milenio - Transmilenio S.A. ","2. APLICACIÓN DE CRITERIOS PARA LA CLASIFICACIÓN DE RIESGO DEL SUJETO DE VIGILANCIA Y CONTROL FISCAL",""))</f>
        <v>2. APLICACIÓN DE CRITERIOS PARA LA CLASIFICACIÓN DE RIESGO DEL SUJETO DE VIGILANCIA Y CONTROL FISCAL</v>
      </c>
      <c r="M27" s="1938"/>
      <c r="N27" s="1938"/>
      <c r="O27" s="1938"/>
    </row>
    <row r="28" spans="2:19" ht="91.15" customHeight="1" x14ac:dyDescent="0.25">
      <c r="B28" s="1982" t="s">
        <v>1703</v>
      </c>
      <c r="C28" s="1983"/>
      <c r="D28" s="1983"/>
      <c r="E28" s="1984"/>
      <c r="F28" s="50"/>
      <c r="G28" s="50"/>
      <c r="I28" s="332"/>
      <c r="J28" s="330"/>
      <c r="K28" s="330"/>
      <c r="L28" s="1944" t="str">
        <f>IF(C6="206 - Fondo de Prestaciones Económicas, Cesantías y Pensiones – FONCEP ",B28,IF(C6="262 - Empresa de Transporte del Tercer Milenio - Transmilenio S.A. ",B28,""))</f>
        <v xml:space="preserve">Notas aclaratorias: 
1. En caso de que al Sujeto de Control Fiscal no se le haya practicado Auditoría Regular (AR) o Financiera Gestión y Resultados (AFGR) en el año inmediatamente anterior, se debe tomar la información de la última vigencia auditada.
2. Si al Sujeto de Control nunca se le ha efectuado auditoría (AR o AFGR) alguna, entonces seleccione la frase: “No Hay" de la lista desplegable.
</v>
      </c>
      <c r="M28" s="1944"/>
      <c r="N28" s="1944"/>
      <c r="O28" s="1944"/>
    </row>
    <row r="29" spans="2:19" ht="80.25" customHeight="1" x14ac:dyDescent="0.25">
      <c r="B29" s="1096" t="s">
        <v>696</v>
      </c>
      <c r="C29" s="1097" t="s">
        <v>1704</v>
      </c>
      <c r="D29" s="1098" t="s">
        <v>697</v>
      </c>
      <c r="E29" s="1099" t="s">
        <v>1705</v>
      </c>
      <c r="F29" s="335"/>
      <c r="I29" s="332"/>
      <c r="J29" s="336"/>
      <c r="K29" s="336"/>
      <c r="L29" s="1610" t="str">
        <f>IF(C6="206 - Fondo de Prestaciones Económicas, Cesantías y Pensiones – FONCEP ","Opinión auditoría anterior",IF(C6="262 - Empresa de Transporte del Tercer Milenio - Transmilenio S.A. ","Opinión auditoría anterior",""))</f>
        <v>Opinión auditoría anterior</v>
      </c>
      <c r="M29" s="1611" t="str">
        <f>IF(C6="206 - Fondo de Prestaciones Económicas, Cesantías y Pensiones – FONCEP ","Calificación Control Interno Contable - Proceso Estados Financieros auditoría anterior",IF(C6="262 - Empresa de Transporte del Tercer Milenio - Transmilenio S.A. ","Calificación Control Interno Contable - Proceso Estados Financieros auditoría anterior",""))</f>
        <v>Calificación Control Interno Contable - Proceso Estados Financieros auditoría anterior</v>
      </c>
      <c r="N29" s="1610" t="str">
        <f>IF(C6="206 - Fondo de Prestaciones Económicas, Cesantías y Pensiones – FONCEP ","Fenecimiento de la cuenta
auditoría anterior",IF(C6="262 - Empresa de Transporte del Tercer Milenio - Transmilenio S.A. ","Fenecimiento de la cuenta
auditoría anterior",""))</f>
        <v>Fenecimiento de la cuenta
auditoría anterior</v>
      </c>
      <c r="O29" s="1612" t="str">
        <f>IF(C6="206 - Fondo de Prestaciones Económicas, Cesantías y Pensiones – FONCEP ","Riesgo Residual o Combinado - Proceso Estados Financieros auditoría actual",IF(C6="262 - Empresa de Transporte del Tercer Milenio - Transmilenio S.A. ","Riesgo Residual o Combinado - Proceso Estados Financieros auditoría actual",""))</f>
        <v>Riesgo Residual o Combinado - Proceso Estados Financieros auditoría actual</v>
      </c>
    </row>
    <row r="30" spans="2:19" x14ac:dyDescent="0.25">
      <c r="B30" s="325" t="s">
        <v>1700</v>
      </c>
      <c r="C30" s="325" t="s">
        <v>1700</v>
      </c>
      <c r="D30" s="325" t="s">
        <v>1700</v>
      </c>
      <c r="E30" s="325" t="s">
        <v>156</v>
      </c>
      <c r="F30" s="326"/>
      <c r="I30" s="332"/>
      <c r="J30" s="330"/>
      <c r="K30" s="330"/>
      <c r="L30" s="325" t="s">
        <v>1700</v>
      </c>
      <c r="M30" s="325" t="s">
        <v>1700</v>
      </c>
      <c r="N30" s="325" t="s">
        <v>1700</v>
      </c>
      <c r="O30" s="325" t="s">
        <v>156</v>
      </c>
    </row>
    <row r="31" spans="2:19" x14ac:dyDescent="0.25">
      <c r="B31" s="329"/>
      <c r="C31" s="329"/>
      <c r="D31" s="329"/>
      <c r="E31" s="329"/>
      <c r="F31" s="329"/>
      <c r="I31" s="332"/>
      <c r="L31" s="329"/>
      <c r="M31" s="329"/>
      <c r="N31" s="329"/>
    </row>
    <row r="32" spans="2:19" ht="72" customHeight="1" x14ac:dyDescent="0.25">
      <c r="B32" s="2000" t="s">
        <v>698</v>
      </c>
      <c r="C32" s="2000"/>
      <c r="D32" s="2000"/>
      <c r="E32" s="2000"/>
      <c r="F32" s="2000"/>
      <c r="G32" s="2000"/>
      <c r="H32" s="2000"/>
      <c r="I32" s="2000"/>
      <c r="L32" s="329"/>
      <c r="M32" s="329"/>
      <c r="N32" s="329"/>
    </row>
    <row r="33" spans="2:19" x14ac:dyDescent="0.25">
      <c r="B33" s="1221"/>
      <c r="C33" s="1221"/>
      <c r="D33" s="1221"/>
      <c r="E33" s="1221"/>
      <c r="F33" s="1221"/>
      <c r="G33" s="1221"/>
      <c r="H33" s="336"/>
      <c r="I33" s="1221"/>
      <c r="J33" s="329"/>
      <c r="K33" s="329"/>
      <c r="L33" s="319"/>
      <c r="M33" s="318"/>
      <c r="N33" s="318"/>
    </row>
    <row r="34" spans="2:19" ht="43.5" customHeight="1" x14ac:dyDescent="0.25">
      <c r="B34" s="2008" t="s">
        <v>699</v>
      </c>
      <c r="C34" s="2008"/>
      <c r="D34" s="2008"/>
      <c r="E34" s="2008"/>
      <c r="F34" s="2008"/>
      <c r="G34" s="607"/>
      <c r="H34" s="607"/>
      <c r="I34" s="607"/>
      <c r="J34" s="329"/>
      <c r="K34" s="329"/>
      <c r="L34" s="319"/>
      <c r="M34" s="318"/>
      <c r="N34" s="318"/>
    </row>
    <row r="35" spans="2:19" ht="31.5" customHeight="1" x14ac:dyDescent="0.25">
      <c r="B35" s="337" t="s">
        <v>700</v>
      </c>
      <c r="C35" s="337" t="s">
        <v>701</v>
      </c>
      <c r="D35" s="2009" t="s">
        <v>702</v>
      </c>
      <c r="E35" s="2009"/>
      <c r="F35" s="2009"/>
      <c r="I35" s="332"/>
      <c r="J35" s="338"/>
      <c r="K35" s="338"/>
      <c r="L35" s="338"/>
      <c r="M35" s="338"/>
      <c r="N35" s="338"/>
    </row>
    <row r="36" spans="2:19" ht="45" customHeight="1" x14ac:dyDescent="0.25">
      <c r="B36" s="312" t="s">
        <v>703</v>
      </c>
      <c r="C36" s="339" t="s">
        <v>704</v>
      </c>
      <c r="D36" s="1978" t="s">
        <v>705</v>
      </c>
      <c r="E36" s="1978"/>
      <c r="F36" s="1978"/>
      <c r="I36" s="332"/>
      <c r="J36" s="338"/>
      <c r="K36" s="338"/>
      <c r="L36" s="338"/>
      <c r="M36" s="338"/>
      <c r="N36" s="338"/>
    </row>
    <row r="37" spans="2:19" ht="39" customHeight="1" x14ac:dyDescent="0.25">
      <c r="B37" s="312" t="s">
        <v>706</v>
      </c>
      <c r="C37" s="339" t="s">
        <v>704</v>
      </c>
      <c r="D37" s="1978"/>
      <c r="E37" s="1978"/>
      <c r="F37" s="1978"/>
      <c r="I37" s="332"/>
      <c r="J37" s="338"/>
      <c r="K37" s="338"/>
      <c r="L37" s="338"/>
      <c r="M37" s="338"/>
      <c r="N37" s="338"/>
    </row>
    <row r="38" spans="2:19" x14ac:dyDescent="0.25">
      <c r="C38" s="340"/>
      <c r="D38" s="341"/>
      <c r="E38" s="341"/>
      <c r="F38" s="341"/>
      <c r="I38" s="332"/>
      <c r="J38" s="338"/>
      <c r="K38" s="338"/>
      <c r="L38" s="338"/>
      <c r="M38" s="338"/>
      <c r="N38" s="338"/>
    </row>
    <row r="39" spans="2:19" ht="46.5" customHeight="1" x14ac:dyDescent="0.25">
      <c r="B39" s="1979" t="s">
        <v>707</v>
      </c>
      <c r="C39" s="1979"/>
      <c r="D39" s="1979"/>
      <c r="E39" s="1979"/>
      <c r="F39" s="1979"/>
      <c r="G39" s="1979"/>
      <c r="H39" s="1979"/>
      <c r="I39" s="1979"/>
      <c r="J39" s="334"/>
      <c r="K39" s="334"/>
      <c r="L39" s="333"/>
      <c r="M39" s="330"/>
      <c r="N39" s="334"/>
    </row>
    <row r="40" spans="2:19" x14ac:dyDescent="0.25">
      <c r="C40" s="342"/>
      <c r="I40" s="332"/>
      <c r="J40" s="330"/>
      <c r="K40" s="330"/>
      <c r="L40" s="343"/>
      <c r="M40" s="330"/>
      <c r="N40" s="330"/>
    </row>
    <row r="41" spans="2:19" s="330" customFormat="1" ht="38.25" customHeight="1" x14ac:dyDescent="0.25">
      <c r="B41" s="1980" t="s">
        <v>708</v>
      </c>
      <c r="C41" s="1980"/>
      <c r="D41" s="1980"/>
      <c r="E41" s="1980"/>
      <c r="F41" s="1980"/>
      <c r="G41" s="1980"/>
      <c r="H41" s="344"/>
      <c r="I41" s="344"/>
      <c r="J41" s="345"/>
      <c r="K41" s="345"/>
      <c r="L41" s="327"/>
      <c r="M41" s="323"/>
      <c r="N41" s="336"/>
    </row>
    <row r="42" spans="2:19" s="330" customFormat="1" ht="69" customHeight="1" x14ac:dyDescent="0.25">
      <c r="B42" s="1296" t="s">
        <v>709</v>
      </c>
      <c r="C42" s="1297" t="s">
        <v>710</v>
      </c>
      <c r="D42" s="1296" t="s">
        <v>711</v>
      </c>
      <c r="E42" s="1220" t="s">
        <v>712</v>
      </c>
      <c r="F42" s="1981" t="s">
        <v>713</v>
      </c>
      <c r="G42" s="1981"/>
      <c r="H42" s="323"/>
      <c r="J42" s="345"/>
      <c r="K42" s="345"/>
      <c r="L42" s="327"/>
      <c r="M42" s="323"/>
      <c r="N42" s="336"/>
    </row>
    <row r="43" spans="2:19" s="330" customFormat="1" ht="52.5" customHeight="1" x14ac:dyDescent="0.25">
      <c r="B43" s="346" t="s">
        <v>1706</v>
      </c>
      <c r="C43" s="1298" t="s">
        <v>714</v>
      </c>
      <c r="D43" s="347" t="s">
        <v>715</v>
      </c>
      <c r="E43" s="1299">
        <v>0.03</v>
      </c>
      <c r="F43" s="2002" t="s">
        <v>716</v>
      </c>
      <c r="G43" s="2002"/>
      <c r="H43" s="323"/>
      <c r="J43" s="345"/>
      <c r="K43" s="345"/>
      <c r="L43" s="327"/>
      <c r="M43" s="323"/>
      <c r="N43" s="336"/>
    </row>
    <row r="44" spans="2:19" s="330" customFormat="1" ht="34.5" customHeight="1" x14ac:dyDescent="0.25">
      <c r="B44" s="346" t="s">
        <v>717</v>
      </c>
      <c r="C44" s="1298" t="s">
        <v>718</v>
      </c>
      <c r="D44" s="348" t="s">
        <v>719</v>
      </c>
      <c r="E44" s="1299">
        <v>2.3E-2</v>
      </c>
      <c r="F44" s="1961" t="s">
        <v>720</v>
      </c>
      <c r="G44" s="1961"/>
      <c r="H44" s="323"/>
      <c r="J44" s="345"/>
      <c r="K44" s="345"/>
      <c r="L44" s="327"/>
      <c r="M44" s="323"/>
      <c r="N44" s="336"/>
    </row>
    <row r="45" spans="2:19" s="330" customFormat="1" ht="31.5" customHeight="1" x14ac:dyDescent="0.25">
      <c r="B45" s="346" t="s">
        <v>721</v>
      </c>
      <c r="C45" s="1298" t="s">
        <v>722</v>
      </c>
      <c r="D45" s="349" t="s">
        <v>723</v>
      </c>
      <c r="E45" s="1299">
        <v>1.7000000000000001E-2</v>
      </c>
      <c r="F45" s="1961"/>
      <c r="G45" s="1961"/>
      <c r="H45" s="323"/>
      <c r="J45" s="345"/>
      <c r="K45" s="345"/>
      <c r="L45" s="327"/>
      <c r="M45" s="323"/>
      <c r="N45" s="336"/>
    </row>
    <row r="46" spans="2:19" ht="12" customHeight="1" x14ac:dyDescent="0.25">
      <c r="B46" s="345"/>
      <c r="C46" s="323"/>
      <c r="D46" s="323"/>
      <c r="E46" s="336"/>
      <c r="F46" s="350"/>
      <c r="G46" s="1300"/>
      <c r="H46" s="340"/>
      <c r="J46" s="345"/>
      <c r="K46" s="345"/>
      <c r="L46" s="323"/>
      <c r="M46" s="323"/>
      <c r="N46" s="336"/>
    </row>
    <row r="47" spans="2:19" ht="113.25" customHeight="1" x14ac:dyDescent="0.25">
      <c r="B47" s="1962" t="s">
        <v>724</v>
      </c>
      <c r="C47" s="1962"/>
      <c r="D47" s="1962"/>
      <c r="E47" s="1962"/>
      <c r="F47" s="1962"/>
      <c r="G47" s="1962"/>
      <c r="H47" s="340"/>
      <c r="J47" s="345"/>
      <c r="K47" s="345"/>
      <c r="L47" s="323"/>
      <c r="M47" s="323"/>
      <c r="N47" s="336"/>
    </row>
    <row r="48" spans="2:19" ht="29.45" customHeight="1" x14ac:dyDescent="0.25">
      <c r="B48" s="345"/>
      <c r="C48" s="327"/>
      <c r="D48" s="323"/>
      <c r="E48" s="336"/>
      <c r="F48" s="350"/>
      <c r="G48" s="351"/>
      <c r="H48" s="319"/>
      <c r="N48" s="1967" t="str">
        <f>IF(C6="206 - Fondo de Prestaciones Económicas, Cesantías y Pensiones – FONCEP ","Estados Financieros del Fondo de Pensiones Públicas de Bogotá – FPPB",IF(C6="262 - Empresa de Transporte del Tercer Milenio - Transmilenio S.A. ","Estados Financieros del Sistema Intregado de Transporte Público-SITP",""))</f>
        <v>Estados Financieros del Fondo de Pensiones Públicas de Bogotá – FPPB</v>
      </c>
      <c r="O48" s="1967"/>
      <c r="P48" s="1967"/>
      <c r="Q48" s="1967"/>
      <c r="R48" s="1967"/>
      <c r="S48" s="1967"/>
    </row>
    <row r="49" spans="2:24" ht="17.25" customHeight="1" x14ac:dyDescent="0.25">
      <c r="B49" s="1963" t="s">
        <v>725</v>
      </c>
      <c r="C49" s="1963"/>
      <c r="D49" s="1963"/>
      <c r="E49" s="1963"/>
      <c r="F49" s="1963"/>
      <c r="G49" s="1963"/>
      <c r="H49" s="319"/>
      <c r="N49" s="1964" t="str">
        <f>IF(C6="206 - Fondo de Prestaciones Económicas, Cesantías y Pensiones – FONCEP ","5. MATERIALIDAD DETERMINADA PARA Fondo de Pensiones Públicas de Bogotá – FPPB",IF(C6="262 - Empresa de Transporte del Tercer Milenio - Transmilenio S.A. ","5. MATERIALIDAD DETERMINADA PARA Sistema Intregado de Transporte Público-SITP",""))</f>
        <v>5. MATERIALIDAD DETERMINADA PARA Fondo de Pensiones Públicas de Bogotá – FPPB</v>
      </c>
      <c r="O49" s="1965"/>
      <c r="P49" s="1965"/>
      <c r="Q49" s="1965"/>
      <c r="R49" s="1965"/>
      <c r="S49" s="1966"/>
    </row>
    <row r="50" spans="2:24" ht="55.9" customHeight="1" x14ac:dyDescent="0.25">
      <c r="B50" s="352" t="s">
        <v>726</v>
      </c>
      <c r="C50" s="1301" t="s">
        <v>711</v>
      </c>
      <c r="D50" s="353" t="s">
        <v>727</v>
      </c>
      <c r="E50" s="353" t="s">
        <v>728</v>
      </c>
      <c r="F50" s="354" t="s">
        <v>729</v>
      </c>
      <c r="G50" s="354" t="s">
        <v>730</v>
      </c>
      <c r="H50" s="319"/>
      <c r="N50" s="352" t="str">
        <f>IF(C6="206 - Fondo de Prestaciones Económicas, Cesantías y Pensiones – FONCEP ","Suma de puntos",IF(C6="262 - Empresa de Transporte del Tercer Milenio - Transmilenio S.A. ","Suma de puntos",""))</f>
        <v>Suma de puntos</v>
      </c>
      <c r="O50" s="1301" t="str">
        <f>IF(C6="206 - Fondo de Prestaciones Económicas, Cesantías y Pensiones – FONCEP ","Rango establecido para determinar Materialidad",IF(C6="262 - Empresa de Transporte del Tercer Milenio - Transmilenio S.A. ","Rango establecido para determinar Materialidad",""))</f>
        <v>Rango establecido para determinar Materialidad</v>
      </c>
      <c r="P50" s="353" t="str">
        <f>IF(C6="206 - Fondo de Prestaciones Económicas, Cesantías y Pensiones – FONCEP ","Base seleccionada",IF(C6="262 - Empresa de Transporte del Tercer Milenio - Transmilenio S.A. ","Base seleccionada",""))</f>
        <v>Base seleccionada</v>
      </c>
      <c r="Q50" s="353" t="str">
        <f>IF(C6="206 - Fondo de Prestaciones Económicas, Cesantías y Pensiones – FONCEP ","Monto Total",IF(C6="262 - Empresa de Transporte del Tercer Milenio - Transmilenio S.A. ","Monto Total",""))</f>
        <v>Monto Total</v>
      </c>
      <c r="R50" s="354" t="str">
        <f>IF(C6="206 - Fondo de Prestaciones Económicas, Cesantías y Pensiones – FONCEP ","% Materialidad establecido según nivel de Riesgo del Sujeto de Control",IF(C6="262 - Empresa de Transporte del Tercer Milenio - Transmilenio S.A. ","% Materialidad establecido según nivel de Riesgo del Sujeto de Control",""))</f>
        <v>% Materialidad establecido según nivel de Riesgo del Sujeto de Control</v>
      </c>
      <c r="S50" s="354" t="str">
        <f>IF(C6="206 - Fondo de Prestaciones Económicas, Cesantías y Pensiones – FONCEP ","%Valor Materialidad en Peso",IF(C6="262 - Empresa de Transporte del Tercer Milenio - Transmilenio S.A. ","%Valor Materialidad en Pesos",""))</f>
        <v>%Valor Materialidad en Peso</v>
      </c>
    </row>
    <row r="51" spans="2:24" ht="23.25" customHeight="1" x14ac:dyDescent="0.25">
      <c r="B51" s="355">
        <f>SUM(B22,D22,F22,H22)</f>
        <v>1</v>
      </c>
      <c r="C51" s="356" t="str">
        <f>IF(ISERROR(B51),"SIN VALOR",IF(AND(B51&gt;=1,B51&lt;8),D43,IF(AND(B51&gt;=8,B51&lt;12),D44,IF(AND(B51&gt;=12),D45))))</f>
        <v>Entre &gt;2,3% y &lt;=3%</v>
      </c>
      <c r="D51" s="1302" t="s">
        <v>703</v>
      </c>
      <c r="E51" s="1303">
        <f>+'HALLAZGOS OPINIÓN_FIN'!B12</f>
        <v>1592844995323</v>
      </c>
      <c r="F51" s="356" t="str">
        <f>IF(ISERROR(B51),"SIN VALOR",IF(AND(B51&lt;8),"3%",IF(AND(B51&gt;=8,B51&lt;12),"2,3%",IF(AND(B51&gt;=12),"1,7%"))))</f>
        <v>3%</v>
      </c>
      <c r="G51" s="1100">
        <f>$E$51*$F$51</f>
        <v>47785349859.689995</v>
      </c>
      <c r="H51" s="319"/>
      <c r="N51" s="355">
        <f>IF(C6="206 - Fondo de Prestaciones Económicas, Cesantías y Pensiones – FONCEP ",SUM(L22,N22,P22,R22),IF(C6="262 - Empresa de Transporte del Tercer Milenio - Transmilenio S.A. ",SUM(L22,N22,P22,R22),""))</f>
        <v>1</v>
      </c>
      <c r="O51" s="356" t="str">
        <f>IF(C6="206 - Fondo de Prestaciones Económicas, Cesantías y Pensiones – FONCEP ",IF(ISERROR(N51),"SIN VALOR",IF(AND(N51&gt;=1,N51&lt;8),D43,IF(AND(N51&gt;=8,N51&lt;12),D44,IF(AND(N51&gt;=12),D45)))),IF(C6="262 - Empresa de Transporte del Tercer Milenio - Transmilenio S.A. ",IF(ISERROR(N51),"SIN VALOR",IF(AND(N51&gt;=1,N51&lt;8),D43,IF(AND(N51&gt;=8,N51&lt;12),D44,IF(AND(N51&gt;=12),D45)))),""))</f>
        <v>Entre &gt;2,3% y &lt;=3%</v>
      </c>
      <c r="P51" s="356" t="str">
        <f>IF(C6="206 - Fondo de Prestaciones Económicas, Cesantías y Pensiones – FONCEP ",$D$51,IF(C6="262 - Empresa de Transporte del Tercer Milenio - Transmilenio S.A. ",$D$51,""))</f>
        <v>Activos</v>
      </c>
      <c r="Q51" s="1652">
        <f>IF(C6="206 - Fondo de Prestaciones Económicas, Cesantías y Pensiones – FONCEP ",+'HALLAZGOS OPINIÓN_FIN Otros'!$B$12,IF(C6="262 - Empresa de Transporte del Tercer Milenio - Transmilenio S.A. ",+'HALLAZGOS OPINIÓN_FIN Otros'!$B$12,""))</f>
        <v>5987542209627</v>
      </c>
      <c r="R51" s="356" t="str">
        <f>IF(C6="206 - Fondo de Prestaciones Económicas, Cesantías y Pensiones – FONCEP ",IF(ISERROR(N51),"SIN VALOR",IF(AND(B51&lt;8),"3%",IF(AND(N51&gt;=8,N51&lt;12),"2,3%",IF(AND(N51&gt;=12),"1,7%")))),IF(C6="262 - Empresa de Transporte del Tercer Milenio - Transmilenio S.A. ",IF(ISERROR(N51),"SIN VALOR",IF(AND(N51&lt;8),"3%",IF(AND(N51&gt;=8,N51&lt;12),"2,3%",IF(AND(N51&gt;=12),"1,7%")))),""))</f>
        <v>3%</v>
      </c>
      <c r="S51" s="1100">
        <f>IF(C6="206 - Fondo de Prestaciones Económicas, Cesantías y Pensiones – FONCEP ",$R$51*$Q$51,IF(C6="262 - Empresa de Transporte del Tercer Milenio - Transmilenio S.A. ",$R$51*$Q$51,""))</f>
        <v>179626266288.81</v>
      </c>
    </row>
    <row r="52" spans="2:24" ht="12" customHeight="1" x14ac:dyDescent="0.25">
      <c r="B52" s="345"/>
      <c r="C52" s="327"/>
      <c r="D52" s="323"/>
      <c r="E52" s="336"/>
      <c r="F52" s="350"/>
      <c r="G52" s="351"/>
      <c r="H52" s="319"/>
      <c r="N52" s="345"/>
      <c r="O52" s="323"/>
      <c r="P52" s="323"/>
      <c r="Q52" s="336"/>
      <c r="R52" s="350"/>
      <c r="S52" s="1300"/>
    </row>
    <row r="53" spans="2:24" ht="60" customHeight="1" x14ac:dyDescent="0.25">
      <c r="B53" s="1962" t="s">
        <v>731</v>
      </c>
      <c r="C53" s="1962"/>
      <c r="D53" s="1962"/>
      <c r="E53" s="1962"/>
      <c r="F53" s="1962"/>
      <c r="G53" s="1962"/>
      <c r="H53" s="319"/>
      <c r="N53" s="1968" t="str">
        <f>IF(C6="206 - Fondo de Prestaciones Económicas, Cesantías y Pensiones – FONCEP ","Esta sección se alimenta automáticamente al diligenciar lo establecido en el numeral 2 de este instructivo. El auditor solamente debe registrar el valor total de los activos y automáticamente le generara el valor de la materialidad en pesos.",IF(C6="262 - Empresa de Transporte del Tercer Milenio - Transmilenio S.A. ","Esta sección se alimenta automáticamente al diligenciar lo establecido en el numeral 2 de este instructivo. El auditor solamente debe registrar el valor total de los activos y automáticamente le generara el valor de la materialidad en pesos.",""))</f>
        <v>Esta sección se alimenta automáticamente al diligenciar lo establecido en el numeral 2 de este instructivo. El auditor solamente debe registrar el valor total de los activos y automáticamente le generara el valor de la materialidad en pesos.</v>
      </c>
      <c r="O53" s="1969"/>
      <c r="P53" s="1969"/>
      <c r="Q53" s="1969"/>
      <c r="R53" s="1969"/>
      <c r="S53" s="1970"/>
    </row>
    <row r="54" spans="2:24" ht="12" customHeight="1" x14ac:dyDescent="0.25">
      <c r="B54" s="345"/>
      <c r="C54" s="327"/>
      <c r="D54" s="323"/>
      <c r="E54" s="336"/>
      <c r="F54" s="350"/>
      <c r="G54" s="351"/>
      <c r="H54" s="319"/>
      <c r="J54" s="345"/>
      <c r="K54" s="345"/>
      <c r="L54" s="323"/>
      <c r="M54" s="323"/>
      <c r="N54" s="336"/>
    </row>
    <row r="55" spans="2:24" ht="30.6" customHeight="1" x14ac:dyDescent="0.25">
      <c r="B55" s="1997" t="s">
        <v>732</v>
      </c>
      <c r="C55" s="1997"/>
      <c r="D55" s="1997"/>
      <c r="E55" s="1997"/>
      <c r="F55" s="1997"/>
      <c r="G55" s="1997"/>
      <c r="H55" s="1997"/>
      <c r="I55" s="1997"/>
      <c r="J55" s="1997"/>
      <c r="K55" s="1997"/>
      <c r="L55" s="1997"/>
      <c r="N55" s="1975" t="str">
        <f>IF(C6="206 - Fondo de Prestaciones Económicas, Cesantías y Pensiones – FONCEP ","6. PARAMETRIZACIÓN DE LAS INCORRECCIONES + LAS IMPOSIBILIDADES QUE DARÍAN LUGAR A OPINIONES MODIFICADAS (Sección que se procesa de manera automática, no requiere diligenciamiento)",IF(C6="262 - Empresa de Transporte del Tercer Milenio - Transmilenio S.A. ","6. PARAMETRIZACIÓN DE LAS INCORRECCIONES + LAS IMPOSIBILIDADES QUE DARÍAN LUGAR A OPINIONES MODIFICADAS (Sección que se procesa de manera automática, no requiere diligenciamiento).",""))</f>
        <v>6. PARAMETRIZACIÓN DE LAS INCORRECCIONES + LAS IMPOSIBILIDADES QUE DARÍAN LUGAR A OPINIONES MODIFICADAS (Sección que se procesa de manera automática, no requiere diligenciamiento)</v>
      </c>
      <c r="O55" s="1975"/>
      <c r="P55" s="1975"/>
      <c r="Q55" s="1975"/>
      <c r="R55" s="1975"/>
      <c r="S55" s="1975"/>
      <c r="T55" s="1975"/>
      <c r="U55" s="1975"/>
      <c r="V55" s="1975"/>
      <c r="W55" s="1975"/>
      <c r="X55" s="1975"/>
    </row>
    <row r="56" spans="2:24" ht="25.5" customHeight="1" x14ac:dyDescent="0.25">
      <c r="B56" s="318"/>
      <c r="C56" s="340"/>
      <c r="D56" s="318"/>
      <c r="E56" s="340"/>
      <c r="F56" s="1954" t="s">
        <v>733</v>
      </c>
      <c r="G56" s="1955"/>
      <c r="H56" s="1955"/>
      <c r="I56" s="1955"/>
      <c r="J56" s="1955"/>
      <c r="K56" s="1955"/>
      <c r="L56" s="1956"/>
      <c r="O56" s="340"/>
      <c r="Q56" s="340"/>
      <c r="R56" s="1971" t="str">
        <f>IF(C6="262 - Empresa de Transporte del Tercer Milenio - Transmilenio S.A. ","SUMA DE LOS %(S) Y DE LOS VALORES DE LAS INCORRECCIONES MAS LAS IMPOSIBILIDADES QUE GENERAN OPINIÓN MODIFICADA SEGÚN EL NIVEL","")</f>
        <v/>
      </c>
      <c r="S56" s="1972"/>
      <c r="T56" s="1972"/>
      <c r="U56" s="1972"/>
      <c r="V56" s="1972"/>
      <c r="W56" s="1972"/>
      <c r="X56" s="1973"/>
    </row>
    <row r="57" spans="2:24" ht="58.5" customHeight="1" x14ac:dyDescent="0.25">
      <c r="B57" s="1957" t="s">
        <v>734</v>
      </c>
      <c r="C57" s="1957"/>
      <c r="D57" s="1957"/>
      <c r="E57" s="1957"/>
      <c r="F57" s="1958" t="s">
        <v>735</v>
      </c>
      <c r="G57" s="1958"/>
      <c r="H57" s="1958" t="s">
        <v>736</v>
      </c>
      <c r="I57" s="1958"/>
      <c r="J57" s="1958"/>
      <c r="K57" s="1958"/>
      <c r="L57" s="357" t="s">
        <v>737</v>
      </c>
      <c r="M57" s="336"/>
      <c r="N57" s="1974" t="str">
        <f>IF(C6="206 - Fondo de Prestaciones Económicas, Cesantías y Pensiones – FONCEP ","MATERIALIDAD DETERMINADA PARA EL SUJETO DE CONTROL",IF(C6="262 - Empresa de Transporte del Tercer Milenio - Transmilenio S.A. ","MATERIALIDAD DETERMINADA PARA EL SUJETO DE CONTROL",""))</f>
        <v>MATERIALIDAD DETERMINADA PARA EL SUJETO DE CONTROL</v>
      </c>
      <c r="O57" s="1974"/>
      <c r="P57" s="1974"/>
      <c r="Q57" s="1974"/>
      <c r="R57" s="1958" t="str">
        <f>IF(C6="206 - Fondo de Prestaciones Económicas, Cesantías y Pensiones – FONCEP ","SIN SALVEDADES",IF(C6="262 - Empresa de Transporte del Tercer Milenio - Transmilenio S.A. ","SIN SALVEDADES",""))</f>
        <v>SIN SALVEDADES</v>
      </c>
      <c r="S57" s="1958"/>
      <c r="T57" s="1958" t="str">
        <f>IF(C6="206 - Fondo de Prestaciones Económicas, Cesantías y Pensiones – FONCEP ","MATERIALES NO GENERALIZADAS = CON SALVEDADES",IF(C6="262 - Empresa de Transporte del Tercer Milenio - Transmilenio S.A. ","MATERIALES NO GENERALIZADAS = CON SALVEDADES",""))</f>
        <v>MATERIALES NO GENERALIZADAS = CON SALVEDADES</v>
      </c>
      <c r="U57" s="1958"/>
      <c r="V57" s="1958"/>
      <c r="W57" s="1958"/>
      <c r="X57" s="357" t="str">
        <f>IF(C6="206 - Fondo de Prestaciones Económicas, Cesantías y Pensiones – FONCEP ","MATERIALES GENERALIZADAS = NEGATIVA/ ABSTENCIÓN",IF(C6="262 - Empresa de Transporte del Tercer Milenio - Transmilenio S.A. ","MATERIALES GENERALIZADAS = NEGATIVA/ ABSTENCIÓN",""))</f>
        <v>MATERIALES GENERALIZADAS = NEGATIVA/ ABSTENCIÓN</v>
      </c>
    </row>
    <row r="58" spans="2:24" ht="25.5" x14ac:dyDescent="0.25">
      <c r="B58" s="358" t="s">
        <v>738</v>
      </c>
      <c r="C58" s="1082" t="s">
        <v>739</v>
      </c>
      <c r="D58" s="359" t="str">
        <f>C51</f>
        <v>Entre &gt;2,3% y &lt;=3%</v>
      </c>
      <c r="E58" s="360" t="str">
        <f>IF(D58=D79,C79,IF(D58=D77,C77,C78))</f>
        <v xml:space="preserve">Valor Material en NIVEL 1 </v>
      </c>
      <c r="F58" s="1959" t="s">
        <v>740</v>
      </c>
      <c r="G58" s="1959"/>
      <c r="H58" s="1960" t="s">
        <v>741</v>
      </c>
      <c r="I58" s="1960"/>
      <c r="J58" s="1960"/>
      <c r="K58" s="1960"/>
      <c r="L58" s="361" t="s">
        <v>742</v>
      </c>
      <c r="M58" s="323"/>
      <c r="N58" s="358" t="str">
        <f>IF(C6="206 - Fondo de Prestaciones Económicas, Cesantías y Pensiones – FONCEP ","Base Seleccionada",IF(C6="262 - Empresa de Transporte del Tercer Milenio - Transmilenio S.A. ","Base Seleccionada",""))</f>
        <v>Base Seleccionada</v>
      </c>
      <c r="O58" s="1635" t="str">
        <f>IF(C6="206 - Fondo de Prestaciones Económicas, Cesantías y Pensiones – FONCEP ","Monto",IF(C6="262 - Empresa de Transporte del Tercer Milenio - Transmilenio S.A. ","Monto",""))</f>
        <v>Monto</v>
      </c>
      <c r="P58" s="359" t="str">
        <f>IF(C6="206 - Fondo de Prestaciones Económicas, Cesantías y Pensiones – FONCEP ",O51,IF(C6="262 - Empresa de Transporte del Tercer Milenio - Transmilenio S.A. ",O51,""))</f>
        <v>Entre &gt;2,3% y &lt;=3%</v>
      </c>
      <c r="Q58" s="360" t="str">
        <f>IF(D58=D79,C79,IF(D58=D77,C77,C78))</f>
        <v xml:space="preserve">Valor Material en NIVEL 1 </v>
      </c>
      <c r="R58" s="1959" t="str">
        <f>IF(C6="206 - Fondo de Prestaciones Económicas, Cesantías y Pensiones – FONCEP ","MENOR QUE 1 VEZ",IF(C6="262 - Empresa de Transporte del Tercer Milenio - Transmilenio S.A. ","MENOR QUE 1 VEZ",""))</f>
        <v>MENOR QUE 1 VEZ</v>
      </c>
      <c r="S58" s="1959"/>
      <c r="T58" s="1960" t="str">
        <f>IF(C6="206 - Fondo de Prestaciones Económicas, Cesantías y Pensiones – FONCEP ","MAYOR O IGUAL QUE 1 Y MENOR QUE 5 VECES",IF(C6="262 - Empresa de Transporte del Tercer Milenio - Transmilenio S.A. ","MAYOR O IGUAL QUE 1 Y MENOR QUE 5 VECES",""))</f>
        <v>MAYOR O IGUAL QUE 1 Y MENOR QUE 5 VECES</v>
      </c>
      <c r="U58" s="1960"/>
      <c r="V58" s="1960"/>
      <c r="W58" s="1960"/>
      <c r="X58" s="1636" t="str">
        <f>IF(C6="206 - Fondo de Prestaciones Económicas, Cesantías y Pensiones – FONCEP ","IGUAL O MAYOR  QUE 5 VECES",IF(C6="262 - Empresa de Transporte del Tercer Milenio - Transmilenio S.A. ","IGUAL O MAYOR  QUE 5 VECES",""))</f>
        <v>IGUAL O MAYOR  QUE 5 VECES</v>
      </c>
    </row>
    <row r="59" spans="2:24" x14ac:dyDescent="0.25">
      <c r="B59" s="1214" t="str">
        <f>+D51</f>
        <v>Activos</v>
      </c>
      <c r="C59" s="362">
        <f>E51</f>
        <v>1592844995323</v>
      </c>
      <c r="D59" s="363" t="str">
        <f>F51</f>
        <v>3%</v>
      </c>
      <c r="E59" s="364" t="s">
        <v>743</v>
      </c>
      <c r="F59" s="365" t="s">
        <v>744</v>
      </c>
      <c r="G59" s="366" t="str">
        <f>D59</f>
        <v>3%</v>
      </c>
      <c r="H59" s="367" t="s">
        <v>745</v>
      </c>
      <c r="I59" s="366" t="str">
        <f>D59</f>
        <v>3%</v>
      </c>
      <c r="J59" s="339" t="s">
        <v>746</v>
      </c>
      <c r="K59" s="363">
        <f>D59*5</f>
        <v>0.15</v>
      </c>
      <c r="L59" s="363">
        <f>D59*5</f>
        <v>0.15</v>
      </c>
      <c r="M59" s="323"/>
      <c r="N59" s="1653" t="str">
        <f>+P51</f>
        <v>Activos</v>
      </c>
      <c r="O59" s="1654">
        <f>+Q51</f>
        <v>5987542209627</v>
      </c>
      <c r="P59" s="366" t="str">
        <f>+R51</f>
        <v>3%</v>
      </c>
      <c r="Q59" s="364" t="str">
        <f>IF(C6="206 - Fondo de Prestaciones Económicas, Cesantías y Pensiones – FONCEP ","En %",IF(C6="262 - Empresa de Transporte del Tercer Milenio - Transmilenio S.A. ","En %",""))</f>
        <v>En %</v>
      </c>
      <c r="R59" s="365" t="str">
        <f>IF(C6="206 - Fondo de Prestaciones Económicas, Cesantías y Pensiones – FONCEP ","Menor que",IF(C6="262 - Empresa de Transporte del Tercer Milenio - Transmilenio S.A. ","Menor que",""))</f>
        <v>Menor que</v>
      </c>
      <c r="S59" s="366" t="str">
        <f>+P59</f>
        <v>3%</v>
      </c>
      <c r="T59" s="365" t="str">
        <f>IF(C6="206 - Fondo de Prestaciones Económicas, Cesantías y Pensiones – FONCEP ","Entre",IF(C6="262 - Empresa de Transporte del Tercer Milenio - Transmilenio S.A. ","Entre",""))</f>
        <v>Entre</v>
      </c>
      <c r="U59" s="366" t="str">
        <f>+P59</f>
        <v>3%</v>
      </c>
      <c r="V59" s="365" t="str">
        <f>IF(C6="206 - Fondo de Prestaciones Económicas, Cesantías y Pensiones – FONCEP ","Menor que",IF(C6="262 - Empresa de Transporte del Tercer Milenio - Transmilenio S.A. ","y Menor que",""))</f>
        <v>Menor que</v>
      </c>
      <c r="W59" s="366">
        <f>IF(C6="206 - Fondo de Prestaciones Económicas, Cesantías y Pensiones – FONCEP ",P59*5,IF(C6="262 - Empresa de Transporte del Tercer Milenio - Transmilenio S.A. ",P59*5,""))</f>
        <v>0.15</v>
      </c>
      <c r="X59" s="366">
        <f>IF(C6="206 - Fondo de Prestaciones Económicas, Cesantías y Pensiones – FONCEP ",P59*5,IF(C6="262 - Empresa de Transporte del Tercer Milenio - Transmilenio S.A. ",P59*5,""))</f>
        <v>0.15</v>
      </c>
    </row>
    <row r="60" spans="2:24" x14ac:dyDescent="0.25">
      <c r="B60" s="368"/>
      <c r="C60" s="362"/>
      <c r="D60" s="369">
        <f>C59*D59</f>
        <v>47785349859.689995</v>
      </c>
      <c r="E60" s="364" t="s">
        <v>747</v>
      </c>
      <c r="F60" s="365" t="s">
        <v>744</v>
      </c>
      <c r="G60" s="370">
        <f>D60</f>
        <v>47785349859.689995</v>
      </c>
      <c r="H60" s="367" t="s">
        <v>745</v>
      </c>
      <c r="I60" s="370">
        <f>D60</f>
        <v>47785349859.689995</v>
      </c>
      <c r="J60" s="339" t="s">
        <v>746</v>
      </c>
      <c r="K60" s="370">
        <f>D60*5</f>
        <v>238926749298.44998</v>
      </c>
      <c r="L60" s="371">
        <f>D60*5</f>
        <v>238926749298.44998</v>
      </c>
      <c r="M60" s="323"/>
      <c r="N60" s="1635"/>
      <c r="O60" s="1654"/>
      <c r="P60" s="1648">
        <f>IF(C6="206 - Fondo de Prestaciones Económicas, Cesantías y Pensiones – FONCEP ",O59*P59,IF(C6="262 - Empresa de Transporte del Tercer Milenio - Transmilenio S.A. ",O59*P59,""))</f>
        <v>179626266288.81</v>
      </c>
      <c r="Q60" s="364" t="str">
        <f>IF(C6="206 - Fondo de Prestaciones Económicas, Cesantías y Pensiones – FONCEP ","En Pesos",IF(C6="262 - Empresa de Transporte del Tercer Milenio - Transmilenio S.A. ","En Pesos",""))</f>
        <v>En Pesos</v>
      </c>
      <c r="R60" s="365" t="str">
        <f>IF(C6="206 - Fondo de Prestaciones Económicas, Cesantías y Pensiones – FONCEP ","Menor que",IF(C6="262 - Empresa de Transporte del Tercer Milenio - Transmilenio S.A. ","Menor que",""))</f>
        <v>Menor que</v>
      </c>
      <c r="S60" s="370">
        <f>+P60</f>
        <v>179626266288.81</v>
      </c>
      <c r="T60" s="365" t="str">
        <f>IF(C6="206 - Fondo de Prestaciones Económicas, Cesantías y Pensiones – FONCEP ","Entre",IF(C6="262 - Empresa de Transporte del Tercer Milenio - Transmilenio S.A. ","Entre",""))</f>
        <v>Entre</v>
      </c>
      <c r="U60" s="370">
        <f>+P60</f>
        <v>179626266288.81</v>
      </c>
      <c r="V60" s="365" t="str">
        <f>IF(C6="206 - Fondo de Prestaciones Económicas, Cesantías y Pensiones – FONCEP ","Menor que",IF(C6="262 - Empresa de Transporte del Tercer Milenio - Transmilenio S.A. ","y Menor que",""))</f>
        <v>Menor que</v>
      </c>
      <c r="W60" s="370">
        <f>IF(C6="206 - Fondo de Prestaciones Económicas, Cesantías y Pensiones – FONCEP ",P60*5,IF(C6="262 - Empresa de Transporte del Tercer Milenio - Transmilenio S.A. ",P60*5,""))</f>
        <v>898131331444.05005</v>
      </c>
      <c r="X60" s="371">
        <f>IF(C6="206 - Fondo de Prestaciones Económicas, Cesantías y Pensiones – FONCEP ",P60*5,IF(C6="262 - Empresa de Transporte del Tercer Milenio - Transmilenio S.A. ",P60*5,""))</f>
        <v>898131331444.05005</v>
      </c>
    </row>
    <row r="61" spans="2:24" x14ac:dyDescent="0.25">
      <c r="B61" s="318"/>
      <c r="C61" s="318"/>
      <c r="D61" s="318"/>
      <c r="E61" s="318"/>
      <c r="M61" s="330"/>
      <c r="N61" s="330"/>
      <c r="O61" s="330"/>
    </row>
    <row r="63" spans="2:24" s="310" customFormat="1" ht="12.75" customHeight="1" x14ac:dyDescent="0.25">
      <c r="B63" s="1945" t="s">
        <v>748</v>
      </c>
      <c r="C63" s="1946"/>
      <c r="D63" s="1946"/>
      <c r="E63" s="1946"/>
      <c r="F63" s="1946"/>
      <c r="G63" s="1946"/>
      <c r="H63" s="1946"/>
      <c r="I63" s="1947"/>
      <c r="N63" s="1945" t="s">
        <v>748</v>
      </c>
      <c r="O63" s="1946"/>
      <c r="P63" s="1946"/>
      <c r="Q63" s="1946"/>
      <c r="R63" s="1946"/>
      <c r="S63" s="1946"/>
      <c r="T63" s="1946"/>
      <c r="U63" s="1947"/>
    </row>
    <row r="64" spans="2:24" s="310" customFormat="1" ht="12.75" customHeight="1" x14ac:dyDescent="0.25">
      <c r="B64" s="1948"/>
      <c r="C64" s="1949"/>
      <c r="D64" s="1949"/>
      <c r="E64" s="1949"/>
      <c r="F64" s="1949"/>
      <c r="G64" s="1949"/>
      <c r="H64" s="1949"/>
      <c r="I64" s="1950"/>
      <c r="N64" s="1948"/>
      <c r="O64" s="1949"/>
      <c r="P64" s="1949"/>
      <c r="Q64" s="1949"/>
      <c r="R64" s="1949"/>
      <c r="S64" s="1949"/>
      <c r="T64" s="1949"/>
      <c r="U64" s="1950"/>
    </row>
    <row r="65" spans="2:21" s="310" customFormat="1" ht="12.75" customHeight="1" x14ac:dyDescent="0.25">
      <c r="B65" s="1951"/>
      <c r="C65" s="1952"/>
      <c r="D65" s="1952"/>
      <c r="E65" s="1952"/>
      <c r="F65" s="1952"/>
      <c r="G65" s="1952"/>
      <c r="H65" s="1952"/>
      <c r="I65" s="1953"/>
      <c r="N65" s="1951"/>
      <c r="O65" s="1952"/>
      <c r="P65" s="1952"/>
      <c r="Q65" s="1952"/>
      <c r="R65" s="1952"/>
      <c r="S65" s="1952"/>
      <c r="T65" s="1952"/>
      <c r="U65" s="1953"/>
    </row>
    <row r="66" spans="2:21" s="310" customFormat="1" ht="30" x14ac:dyDescent="0.25">
      <c r="B66" s="1941" t="s">
        <v>749</v>
      </c>
      <c r="C66" s="1942"/>
      <c r="D66" s="1942"/>
      <c r="E66" s="1942"/>
      <c r="F66" s="1943"/>
      <c r="G66" s="1602" t="s">
        <v>750</v>
      </c>
      <c r="H66" s="1976"/>
      <c r="I66" s="1977"/>
      <c r="N66" s="1941" t="s">
        <v>749</v>
      </c>
      <c r="O66" s="1942"/>
      <c r="P66" s="1942"/>
      <c r="Q66" s="1942"/>
      <c r="R66" s="1943"/>
      <c r="S66" s="1602" t="s">
        <v>750</v>
      </c>
      <c r="T66" s="1976"/>
      <c r="U66" s="1977"/>
    </row>
    <row r="67" spans="2:21" s="310" customFormat="1" ht="15" x14ac:dyDescent="0.25">
      <c r="B67" s="1941" t="s">
        <v>751</v>
      </c>
      <c r="C67" s="1942"/>
      <c r="D67" s="1942"/>
      <c r="E67" s="1942"/>
      <c r="F67" s="1942"/>
      <c r="G67" s="1942"/>
      <c r="H67" s="1942"/>
      <c r="I67" s="1943"/>
      <c r="N67" s="1941" t="s">
        <v>751</v>
      </c>
      <c r="O67" s="1942"/>
      <c r="P67" s="1942"/>
      <c r="Q67" s="1942"/>
      <c r="R67" s="1942"/>
      <c r="S67" s="1942"/>
      <c r="T67" s="1942"/>
      <c r="U67" s="1943"/>
    </row>
    <row r="68" spans="2:21" s="310" customFormat="1" ht="27" customHeight="1" x14ac:dyDescent="0.25">
      <c r="B68" s="1939" t="s">
        <v>1902</v>
      </c>
      <c r="C68" s="1940"/>
      <c r="D68" s="1941" t="s">
        <v>1903</v>
      </c>
      <c r="E68" s="1942"/>
      <c r="F68" s="1943"/>
      <c r="G68" s="1602" t="s">
        <v>752</v>
      </c>
      <c r="H68" s="1976"/>
      <c r="I68" s="1977"/>
      <c r="N68" s="1939" t="s">
        <v>1902</v>
      </c>
      <c r="O68" s="1940"/>
      <c r="P68" s="1941" t="s">
        <v>1903</v>
      </c>
      <c r="Q68" s="1942"/>
      <c r="R68" s="1943"/>
      <c r="S68" s="1602" t="s">
        <v>752</v>
      </c>
      <c r="T68" s="1976"/>
      <c r="U68" s="1977"/>
    </row>
    <row r="69" spans="2:21" s="310" customFormat="1" ht="15" x14ac:dyDescent="0.25">
      <c r="B69" s="1941" t="s">
        <v>753</v>
      </c>
      <c r="C69" s="1942"/>
      <c r="D69" s="1942"/>
      <c r="E69" s="1942"/>
      <c r="F69" s="1942"/>
      <c r="G69" s="1942"/>
      <c r="H69" s="1942"/>
      <c r="I69" s="1943"/>
      <c r="N69" s="1941" t="s">
        <v>753</v>
      </c>
      <c r="O69" s="1942"/>
      <c r="P69" s="1942"/>
      <c r="Q69" s="1942"/>
      <c r="R69" s="1942"/>
      <c r="S69" s="1942"/>
      <c r="T69" s="1942"/>
      <c r="U69" s="1943"/>
    </row>
    <row r="70" spans="2:21" s="310" customFormat="1" ht="29.25" customHeight="1" x14ac:dyDescent="0.25">
      <c r="B70" s="1602" t="s">
        <v>1904</v>
      </c>
      <c r="C70" s="1602"/>
      <c r="D70" s="1600" t="s">
        <v>1905</v>
      </c>
      <c r="E70" s="1600" t="s">
        <v>754</v>
      </c>
      <c r="F70" s="1601"/>
      <c r="G70" s="1602" t="s">
        <v>755</v>
      </c>
      <c r="H70" s="1976"/>
      <c r="I70" s="1977"/>
      <c r="N70" s="1602" t="s">
        <v>1904</v>
      </c>
      <c r="O70" s="1602"/>
      <c r="P70" s="1600" t="s">
        <v>1905</v>
      </c>
      <c r="Q70" s="1600" t="s">
        <v>754</v>
      </c>
      <c r="R70" s="1601"/>
      <c r="S70" s="1602" t="s">
        <v>755</v>
      </c>
      <c r="T70" s="1976"/>
      <c r="U70" s="1977"/>
    </row>
    <row r="71" spans="2:21" s="310" customFormat="1" x14ac:dyDescent="0.25"/>
    <row r="75" spans="2:21" ht="16.899999999999999" customHeight="1" x14ac:dyDescent="0.25"/>
    <row r="76" spans="2:21" s="1662" customFormat="1" x14ac:dyDescent="0.25"/>
    <row r="77" spans="2:21" s="1662" customFormat="1" ht="25.5" hidden="1" x14ac:dyDescent="0.25">
      <c r="C77" s="1663" t="s">
        <v>1926</v>
      </c>
      <c r="D77" s="347" t="s">
        <v>715</v>
      </c>
    </row>
    <row r="78" spans="2:21" s="1662" customFormat="1" ht="25.5" hidden="1" x14ac:dyDescent="0.25">
      <c r="C78" s="1663" t="s">
        <v>1927</v>
      </c>
      <c r="D78" s="347" t="s">
        <v>719</v>
      </c>
    </row>
    <row r="79" spans="2:21" s="1662" customFormat="1" ht="25.5" hidden="1" x14ac:dyDescent="0.25">
      <c r="C79" s="1663" t="s">
        <v>1928</v>
      </c>
      <c r="D79" s="347" t="s">
        <v>723</v>
      </c>
    </row>
    <row r="80" spans="2:21" s="1662" customFormat="1" x14ac:dyDescent="0.25"/>
    <row r="171" spans="4:4" hidden="1" x14ac:dyDescent="0.25">
      <c r="D171" s="271" t="s">
        <v>703</v>
      </c>
    </row>
    <row r="172" spans="4:4" hidden="1" x14ac:dyDescent="0.25">
      <c r="D172" s="271" t="s">
        <v>1909</v>
      </c>
    </row>
    <row r="173" spans="4:4" hidden="1" x14ac:dyDescent="0.25">
      <c r="D173" s="271" t="s">
        <v>1910</v>
      </c>
    </row>
    <row r="174" spans="4:4" hidden="1" x14ac:dyDescent="0.25">
      <c r="D174" s="271" t="s">
        <v>679</v>
      </c>
    </row>
    <row r="175" spans="4:4" hidden="1" x14ac:dyDescent="0.25">
      <c r="D175" s="271" t="s">
        <v>1911</v>
      </c>
    </row>
    <row r="176" spans="4:4" hidden="1" x14ac:dyDescent="0.25">
      <c r="D176" s="271" t="s">
        <v>1912</v>
      </c>
    </row>
  </sheetData>
  <sheetProtection algorithmName="SHA-512" hashValue="ee7gnp5O9896G84j74RpD852ZkDFZZMAQYYAZ42AkIQDrNC0btp5vj9+2aZzlO6ZXEHEI2JTcDXJ3FwHJgmXXg==" saltValue="5KkuxRYfX2KyfiYsg6Q0Hw==" spinCount="100000" sheet="1" pivotTables="0"/>
  <mergeCells count="81">
    <mergeCell ref="L24:S24"/>
    <mergeCell ref="L9:S9"/>
    <mergeCell ref="L11:S11"/>
    <mergeCell ref="L13:S13"/>
    <mergeCell ref="L14:S14"/>
    <mergeCell ref="L15:Q15"/>
    <mergeCell ref="R15:S15"/>
    <mergeCell ref="M5:S5"/>
    <mergeCell ref="M6:O6"/>
    <mergeCell ref="Q6:S6"/>
    <mergeCell ref="M7:O7"/>
    <mergeCell ref="Q7:S7"/>
    <mergeCell ref="B53:G53"/>
    <mergeCell ref="B55:L55"/>
    <mergeCell ref="C7:E7"/>
    <mergeCell ref="G7:I7"/>
    <mergeCell ref="B9:I9"/>
    <mergeCell ref="B11:I11"/>
    <mergeCell ref="B13:I13"/>
    <mergeCell ref="B14:I14"/>
    <mergeCell ref="F43:G43"/>
    <mergeCell ref="B15:G15"/>
    <mergeCell ref="H15:I15"/>
    <mergeCell ref="B24:I24"/>
    <mergeCell ref="B27:E27"/>
    <mergeCell ref="B32:I32"/>
    <mergeCell ref="B34:F34"/>
    <mergeCell ref="D35:F35"/>
    <mergeCell ref="B1:B2"/>
    <mergeCell ref="B3:I3"/>
    <mergeCell ref="B4:I4"/>
    <mergeCell ref="C5:I5"/>
    <mergeCell ref="C6:E6"/>
    <mergeCell ref="G6:I6"/>
    <mergeCell ref="C1:H2"/>
    <mergeCell ref="D36:F37"/>
    <mergeCell ref="B39:I39"/>
    <mergeCell ref="B41:G41"/>
    <mergeCell ref="F42:G42"/>
    <mergeCell ref="B28:E28"/>
    <mergeCell ref="B69:I69"/>
    <mergeCell ref="B66:F66"/>
    <mergeCell ref="D68:F68"/>
    <mergeCell ref="H70:I70"/>
    <mergeCell ref="B67:I67"/>
    <mergeCell ref="B68:C68"/>
    <mergeCell ref="H66:I66"/>
    <mergeCell ref="H68:I68"/>
    <mergeCell ref="N69:U69"/>
    <mergeCell ref="T70:U70"/>
    <mergeCell ref="N63:U65"/>
    <mergeCell ref="N66:R66"/>
    <mergeCell ref="T66:U66"/>
    <mergeCell ref="N67:U67"/>
    <mergeCell ref="T68:U68"/>
    <mergeCell ref="R58:S58"/>
    <mergeCell ref="T58:W58"/>
    <mergeCell ref="N49:S49"/>
    <mergeCell ref="N48:S48"/>
    <mergeCell ref="N53:S53"/>
    <mergeCell ref="R56:X56"/>
    <mergeCell ref="N57:Q57"/>
    <mergeCell ref="R57:S57"/>
    <mergeCell ref="T57:W57"/>
    <mergeCell ref="N55:X55"/>
    <mergeCell ref="B26:E26"/>
    <mergeCell ref="L26:O26"/>
    <mergeCell ref="L27:O27"/>
    <mergeCell ref="N68:O68"/>
    <mergeCell ref="P68:R68"/>
    <mergeCell ref="L28:O28"/>
    <mergeCell ref="B63:I65"/>
    <mergeCell ref="F56:L56"/>
    <mergeCell ref="B57:E57"/>
    <mergeCell ref="F57:G57"/>
    <mergeCell ref="H57:K57"/>
    <mergeCell ref="F58:G58"/>
    <mergeCell ref="H58:K58"/>
    <mergeCell ref="F44:G45"/>
    <mergeCell ref="B47:G47"/>
    <mergeCell ref="B49:G49"/>
  </mergeCells>
  <conditionalFormatting sqref="I1:I2">
    <cfRule type="cellIs" dxfId="246" priority="1" operator="equal">
      <formula>"INEXISTENTE"</formula>
    </cfRule>
    <cfRule type="cellIs" dxfId="245" priority="2" operator="equal">
      <formula>"INADECUADO"</formula>
    </cfRule>
    <cfRule type="cellIs" dxfId="244" priority="3" operator="equal">
      <formula>"PARCIALMENTE ADECUADO"</formula>
    </cfRule>
    <cfRule type="cellIs" dxfId="243" priority="4" operator="equal">
      <formula>"ADECUADO"</formula>
    </cfRule>
    <cfRule type="cellIs" dxfId="242" priority="5" operator="equal">
      <formula>"ERROR"</formula>
    </cfRule>
  </conditionalFormatting>
  <dataValidations count="9">
    <dataValidation type="list" allowBlank="1" showInputMessage="1" showErrorMessage="1" sqref="WVL983056 D30:D31 WLP983056 WBT983056 VRX983056 VIB983056 UYF983056 UOJ983056 UEN983056 TUR983056 TKV983056 TAZ983056 SRD983056 SHH983056 RXL983056 RNP983056 RDT983056 QTX983056 QKB983056 QAF983056 PQJ983056 PGN983056 OWR983056 OMV983056 OCZ983056 NTD983056 NJH983056 MZL983056 MPP983056 MFT983056 LVX983056 LMB983056 LCF983056 KSJ983056 KIN983056 JYR983056 JOV983056 JEZ983056 IVD983056 ILH983056 IBL983056 HRP983056 HHT983056 GXX983056 GOB983056 GEF983056 FUJ983056 FKN983056 FAR983056 EQV983056 EGZ983056 DXD983056 DNH983056 DDL983056 CTP983056 CJT983056 BZX983056 BQB983056 BGF983056 AWJ983056 AMN983056 ACR983056 SV983056 IZ983056 D983056 WVL917520 WLP917520 WBT917520 VRX917520 VIB917520 UYF917520 UOJ917520 UEN917520 TUR917520 TKV917520 TAZ917520 SRD917520 SHH917520 RXL917520 RNP917520 RDT917520 QTX917520 QKB917520 QAF917520 PQJ917520 PGN917520 OWR917520 OMV917520 OCZ917520 NTD917520 NJH917520 MZL917520 MPP917520 MFT917520 LVX917520 LMB917520 LCF917520 KSJ917520 KIN917520 JYR917520 JOV917520 JEZ917520 IVD917520 ILH917520 IBL917520 HRP917520 HHT917520 GXX917520 GOB917520 GEF917520 FUJ917520 FKN917520 FAR917520 EQV917520 EGZ917520 DXD917520 DNH917520 DDL917520 CTP917520 CJT917520 BZX917520 BQB917520 BGF917520 AWJ917520 AMN917520 ACR917520 SV917520 IZ917520 D917520 WVL851984 WLP851984 WBT851984 VRX851984 VIB851984 UYF851984 UOJ851984 UEN851984 TUR851984 TKV851984 TAZ851984 SRD851984 SHH851984 RXL851984 RNP851984 RDT851984 QTX851984 QKB851984 QAF851984 PQJ851984 PGN851984 OWR851984 OMV851984 OCZ851984 NTD851984 NJH851984 MZL851984 MPP851984 MFT851984 LVX851984 LMB851984 LCF851984 KSJ851984 KIN851984 JYR851984 JOV851984 JEZ851984 IVD851984 ILH851984 IBL851984 HRP851984 HHT851984 GXX851984 GOB851984 GEF851984 FUJ851984 FKN851984 FAR851984 EQV851984 EGZ851984 DXD851984 DNH851984 DDL851984 CTP851984 CJT851984 BZX851984 BQB851984 BGF851984 AWJ851984 AMN851984 ACR851984 SV851984 IZ851984 D851984 WVL786448 WLP786448 WBT786448 VRX786448 VIB786448 UYF786448 UOJ786448 UEN786448 TUR786448 TKV786448 TAZ786448 SRD786448 SHH786448 RXL786448 RNP786448 RDT786448 QTX786448 QKB786448 QAF786448 PQJ786448 PGN786448 OWR786448 OMV786448 OCZ786448 NTD786448 NJH786448 MZL786448 MPP786448 MFT786448 LVX786448 LMB786448 LCF786448 KSJ786448 KIN786448 JYR786448 JOV786448 JEZ786448 IVD786448 ILH786448 IBL786448 HRP786448 HHT786448 GXX786448 GOB786448 GEF786448 FUJ786448 FKN786448 FAR786448 EQV786448 EGZ786448 DXD786448 DNH786448 DDL786448 CTP786448 CJT786448 BZX786448 BQB786448 BGF786448 AWJ786448 AMN786448 ACR786448 SV786448 IZ786448 D786448 WVL720912 WLP720912 WBT720912 VRX720912 VIB720912 UYF720912 UOJ720912 UEN720912 TUR720912 TKV720912 TAZ720912 SRD720912 SHH720912 RXL720912 RNP720912 RDT720912 QTX720912 QKB720912 QAF720912 PQJ720912 PGN720912 OWR720912 OMV720912 OCZ720912 NTD720912 NJH720912 MZL720912 MPP720912 MFT720912 LVX720912 LMB720912 LCF720912 KSJ720912 KIN720912 JYR720912 JOV720912 JEZ720912 IVD720912 ILH720912 IBL720912 HRP720912 HHT720912 GXX720912 GOB720912 GEF720912 FUJ720912 FKN720912 FAR720912 EQV720912 EGZ720912 DXD720912 DNH720912 DDL720912 CTP720912 CJT720912 BZX720912 BQB720912 BGF720912 AWJ720912 AMN720912 ACR720912 SV720912 IZ720912 D720912 WVL655376 WLP655376 WBT655376 VRX655376 VIB655376 UYF655376 UOJ655376 UEN655376 TUR655376 TKV655376 TAZ655376 SRD655376 SHH655376 RXL655376 RNP655376 RDT655376 QTX655376 QKB655376 QAF655376 PQJ655376 PGN655376 OWR655376 OMV655376 OCZ655376 NTD655376 NJH655376 MZL655376 MPP655376 MFT655376 LVX655376 LMB655376 LCF655376 KSJ655376 KIN655376 JYR655376 JOV655376 JEZ655376 IVD655376 ILH655376 IBL655376 HRP655376 HHT655376 GXX655376 GOB655376 GEF655376 FUJ655376 FKN655376 FAR655376 EQV655376 EGZ655376 DXD655376 DNH655376 DDL655376 CTP655376 CJT655376 BZX655376 BQB655376 BGF655376 AWJ655376 AMN655376 ACR655376 SV655376 IZ655376 D655376 WVL589840 WLP589840 WBT589840 VRX589840 VIB589840 UYF589840 UOJ589840 UEN589840 TUR589840 TKV589840 TAZ589840 SRD589840 SHH589840 RXL589840 RNP589840 RDT589840 QTX589840 QKB589840 QAF589840 PQJ589840 PGN589840 OWR589840 OMV589840 OCZ589840 NTD589840 NJH589840 MZL589840 MPP589840 MFT589840 LVX589840 LMB589840 LCF589840 KSJ589840 KIN589840 JYR589840 JOV589840 JEZ589840 IVD589840 ILH589840 IBL589840 HRP589840 HHT589840 GXX589840 GOB589840 GEF589840 FUJ589840 FKN589840 FAR589840 EQV589840 EGZ589840 DXD589840 DNH589840 DDL589840 CTP589840 CJT589840 BZX589840 BQB589840 BGF589840 AWJ589840 AMN589840 ACR589840 SV589840 IZ589840 D589840 WVL524304 WLP524304 WBT524304 VRX524304 VIB524304 UYF524304 UOJ524304 UEN524304 TUR524304 TKV524304 TAZ524304 SRD524304 SHH524304 RXL524304 RNP524304 RDT524304 QTX524304 QKB524304 QAF524304 PQJ524304 PGN524304 OWR524304 OMV524304 OCZ524304 NTD524304 NJH524304 MZL524304 MPP524304 MFT524304 LVX524304 LMB524304 LCF524304 KSJ524304 KIN524304 JYR524304 JOV524304 JEZ524304 IVD524304 ILH524304 IBL524304 HRP524304 HHT524304 GXX524304 GOB524304 GEF524304 FUJ524304 FKN524304 FAR524304 EQV524304 EGZ524304 DXD524304 DNH524304 DDL524304 CTP524304 CJT524304 BZX524304 BQB524304 BGF524304 AWJ524304 AMN524304 ACR524304 SV524304 IZ524304 D524304 WVL458768 WLP458768 WBT458768 VRX458768 VIB458768 UYF458768 UOJ458768 UEN458768 TUR458768 TKV458768 TAZ458768 SRD458768 SHH458768 RXL458768 RNP458768 RDT458768 QTX458768 QKB458768 QAF458768 PQJ458768 PGN458768 OWR458768 OMV458768 OCZ458768 NTD458768 NJH458768 MZL458768 MPP458768 MFT458768 LVX458768 LMB458768 LCF458768 KSJ458768 KIN458768 JYR458768 JOV458768 JEZ458768 IVD458768 ILH458768 IBL458768 HRP458768 HHT458768 GXX458768 GOB458768 GEF458768 FUJ458768 FKN458768 FAR458768 EQV458768 EGZ458768 DXD458768 DNH458768 DDL458768 CTP458768 CJT458768 BZX458768 BQB458768 BGF458768 AWJ458768 AMN458768 ACR458768 SV458768 IZ458768 D458768 WVL393232 WLP393232 WBT393232 VRX393232 VIB393232 UYF393232 UOJ393232 UEN393232 TUR393232 TKV393232 TAZ393232 SRD393232 SHH393232 RXL393232 RNP393232 RDT393232 QTX393232 QKB393232 QAF393232 PQJ393232 PGN393232 OWR393232 OMV393232 OCZ393232 NTD393232 NJH393232 MZL393232 MPP393232 MFT393232 LVX393232 LMB393232 LCF393232 KSJ393232 KIN393232 JYR393232 JOV393232 JEZ393232 IVD393232 ILH393232 IBL393232 HRP393232 HHT393232 GXX393232 GOB393232 GEF393232 FUJ393232 FKN393232 FAR393232 EQV393232 EGZ393232 DXD393232 DNH393232 DDL393232 CTP393232 CJT393232 BZX393232 BQB393232 BGF393232 AWJ393232 AMN393232 ACR393232 SV393232 IZ393232 D393232 WVL327696 WLP327696 WBT327696 VRX327696 VIB327696 UYF327696 UOJ327696 UEN327696 TUR327696 TKV327696 TAZ327696 SRD327696 SHH327696 RXL327696 RNP327696 RDT327696 QTX327696 QKB327696 QAF327696 PQJ327696 PGN327696 OWR327696 OMV327696 OCZ327696 NTD327696 NJH327696 MZL327696 MPP327696 MFT327696 LVX327696 LMB327696 LCF327696 KSJ327696 KIN327696 JYR327696 JOV327696 JEZ327696 IVD327696 ILH327696 IBL327696 HRP327696 HHT327696 GXX327696 GOB327696 GEF327696 FUJ327696 FKN327696 FAR327696 EQV327696 EGZ327696 DXD327696 DNH327696 DDL327696 CTP327696 CJT327696 BZX327696 BQB327696 BGF327696 AWJ327696 AMN327696 ACR327696 SV327696 IZ327696 D327696 WVL262160 WLP262160 WBT262160 VRX262160 VIB262160 UYF262160 UOJ262160 UEN262160 TUR262160 TKV262160 TAZ262160 SRD262160 SHH262160 RXL262160 RNP262160 RDT262160 QTX262160 QKB262160 QAF262160 PQJ262160 PGN262160 OWR262160 OMV262160 OCZ262160 NTD262160 NJH262160 MZL262160 MPP262160 MFT262160 LVX262160 LMB262160 LCF262160 KSJ262160 KIN262160 JYR262160 JOV262160 JEZ262160 IVD262160 ILH262160 IBL262160 HRP262160 HHT262160 GXX262160 GOB262160 GEF262160 FUJ262160 FKN262160 FAR262160 EQV262160 EGZ262160 DXD262160 DNH262160 DDL262160 CTP262160 CJT262160 BZX262160 BQB262160 BGF262160 AWJ262160 AMN262160 ACR262160 SV262160 IZ262160 D262160 WVL196624 WLP196624 WBT196624 VRX196624 VIB196624 UYF196624 UOJ196624 UEN196624 TUR196624 TKV196624 TAZ196624 SRD196624 SHH196624 RXL196624 RNP196624 RDT196624 QTX196624 QKB196624 QAF196624 PQJ196624 PGN196624 OWR196624 OMV196624 OCZ196624 NTD196624 NJH196624 MZL196624 MPP196624 MFT196624 LVX196624 LMB196624 LCF196624 KSJ196624 KIN196624 JYR196624 JOV196624 JEZ196624 IVD196624 ILH196624 IBL196624 HRP196624 HHT196624 GXX196624 GOB196624 GEF196624 FUJ196624 FKN196624 FAR196624 EQV196624 EGZ196624 DXD196624 DNH196624 DDL196624 CTP196624 CJT196624 BZX196624 BQB196624 BGF196624 AWJ196624 AMN196624 ACR196624 SV196624 IZ196624 D196624 WVL131088 WLP131088 WBT131088 VRX131088 VIB131088 UYF131088 UOJ131088 UEN131088 TUR131088 TKV131088 TAZ131088 SRD131088 SHH131088 RXL131088 RNP131088 RDT131088 QTX131088 QKB131088 QAF131088 PQJ131088 PGN131088 OWR131088 OMV131088 OCZ131088 NTD131088 NJH131088 MZL131088 MPP131088 MFT131088 LVX131088 LMB131088 LCF131088 KSJ131088 KIN131088 JYR131088 JOV131088 JEZ131088 IVD131088 ILH131088 IBL131088 HRP131088 HHT131088 GXX131088 GOB131088 GEF131088 FUJ131088 FKN131088 FAR131088 EQV131088 EGZ131088 DXD131088 DNH131088 DDL131088 CTP131088 CJT131088 BZX131088 BQB131088 BGF131088 AWJ131088 AMN131088 ACR131088 SV131088 IZ131088 D131088 WVL65552 WLP65552 WBT65552 VRX65552 VIB65552 UYF65552 UOJ65552 UEN65552 TUR65552 TKV65552 TAZ65552 SRD65552 SHH65552 RXL65552 RNP65552 RDT65552 QTX65552 QKB65552 QAF65552 PQJ65552 PGN65552 OWR65552 OMV65552 OCZ65552 NTD65552 NJH65552 MZL65552 MPP65552 MFT65552 LVX65552 LMB65552 LCF65552 KSJ65552 KIN65552 JYR65552 JOV65552 JEZ65552 IVD65552 ILH65552 IBL65552 HRP65552 HHT65552 GXX65552 GOB65552 GEF65552 FUJ65552 FKN65552 FAR65552 EQV65552 EGZ65552 DXD65552 DNH65552 DDL65552 CTP65552 CJT65552 BZX65552 BQB65552 BGF65552 AWJ65552 AMN65552 ACR65552 SV65552 IZ65552 D65552 WVL30:WVL32 WLP30:WLP32 WBT30:WBT32 VRX30:VRX32 VIB30:VIB32 UYF30:UYF32 UOJ30:UOJ32 UEN30:UEN32 TUR30:TUR32 TKV30:TKV32 TAZ30:TAZ32 SRD30:SRD32 SHH30:SHH32 RXL30:RXL32 RNP30:RNP32 RDT30:RDT32 QTX30:QTX32 QKB30:QKB32 QAF30:QAF32 PQJ30:PQJ32 PGN30:PGN32 OWR30:OWR32 OMV30:OMV32 OCZ30:OCZ32 NTD30:NTD32 NJH30:NJH32 MZL30:MZL32 MPP30:MPP32 MFT30:MFT32 LVX30:LVX32 LMB30:LMB32 LCF30:LCF32 KSJ30:KSJ32 KIN30:KIN32 JYR30:JYR32 JOV30:JOV32 JEZ30:JEZ32 IVD30:IVD32 ILH30:ILH32 IBL30:IBL32 HRP30:HRP32 HHT30:HHT32 GXX30:GXX32 GOB30:GOB32 GEF30:GEF32 FUJ30:FUJ32 FKN30:FKN32 FAR30:FAR32 EQV30:EQV32 EGZ30:EGZ32 DXD30:DXD32 DNH30:DNH32 DDL30:DDL32 CTP30:CTP32 CJT30:CJT32 BZX30:BZX32 BQB30:BQB32 BGF30:BGF32 AWJ30:AWJ32 AMN30:AMN32 ACR30:ACR32 SV30:SV32 IZ30:IZ32 N30">
      <formula1>$F$17:$F$19</formula1>
    </dataValidation>
    <dataValidation type="list" allowBlank="1" showInputMessage="1" showErrorMessage="1" sqref="IY30:IY32 WVK983056 WLO983056 WBS983056 VRW983056 VIA983056 UYE983056 UOI983056 UEM983056 TUQ983056 TKU983056 TAY983056 SRC983056 SHG983056 RXK983056 RNO983056 RDS983056 QTW983056 QKA983056 QAE983056 PQI983056 PGM983056 OWQ983056 OMU983056 OCY983056 NTC983056 NJG983056 MZK983056 MPO983056 MFS983056 LVW983056 LMA983056 LCE983056 KSI983056 KIM983056 JYQ983056 JOU983056 JEY983056 IVC983056 ILG983056 IBK983056 HRO983056 HHS983056 GXW983056 GOA983056 GEE983056 FUI983056 FKM983056 FAQ983056 EQU983056 EGY983056 DXC983056 DNG983056 DDK983056 CTO983056 CJS983056 BZW983056 BQA983056 BGE983056 AWI983056 AMM983056 ACQ983056 SU983056 IY983056 C983056 WVK917520 WLO917520 WBS917520 VRW917520 VIA917520 UYE917520 UOI917520 UEM917520 TUQ917520 TKU917520 TAY917520 SRC917520 SHG917520 RXK917520 RNO917520 RDS917520 QTW917520 QKA917520 QAE917520 PQI917520 PGM917520 OWQ917520 OMU917520 OCY917520 NTC917520 NJG917520 MZK917520 MPO917520 MFS917520 LVW917520 LMA917520 LCE917520 KSI917520 KIM917520 JYQ917520 JOU917520 JEY917520 IVC917520 ILG917520 IBK917520 HRO917520 HHS917520 GXW917520 GOA917520 GEE917520 FUI917520 FKM917520 FAQ917520 EQU917520 EGY917520 DXC917520 DNG917520 DDK917520 CTO917520 CJS917520 BZW917520 BQA917520 BGE917520 AWI917520 AMM917520 ACQ917520 SU917520 IY917520 C917520 WVK851984 WLO851984 WBS851984 VRW851984 VIA851984 UYE851984 UOI851984 UEM851984 TUQ851984 TKU851984 TAY851984 SRC851984 SHG851984 RXK851984 RNO851984 RDS851984 QTW851984 QKA851984 QAE851984 PQI851984 PGM851984 OWQ851984 OMU851984 OCY851984 NTC851984 NJG851984 MZK851984 MPO851984 MFS851984 LVW851984 LMA851984 LCE851984 KSI851984 KIM851984 JYQ851984 JOU851984 JEY851984 IVC851984 ILG851984 IBK851984 HRO851984 HHS851984 GXW851984 GOA851984 GEE851984 FUI851984 FKM851984 FAQ851984 EQU851984 EGY851984 DXC851984 DNG851984 DDK851984 CTO851984 CJS851984 BZW851984 BQA851984 BGE851984 AWI851984 AMM851984 ACQ851984 SU851984 IY851984 C851984 WVK786448 WLO786448 WBS786448 VRW786448 VIA786448 UYE786448 UOI786448 UEM786448 TUQ786448 TKU786448 TAY786448 SRC786448 SHG786448 RXK786448 RNO786448 RDS786448 QTW786448 QKA786448 QAE786448 PQI786448 PGM786448 OWQ786448 OMU786448 OCY786448 NTC786448 NJG786448 MZK786448 MPO786448 MFS786448 LVW786448 LMA786448 LCE786448 KSI786448 KIM786448 JYQ786448 JOU786448 JEY786448 IVC786448 ILG786448 IBK786448 HRO786448 HHS786448 GXW786448 GOA786448 GEE786448 FUI786448 FKM786448 FAQ786448 EQU786448 EGY786448 DXC786448 DNG786448 DDK786448 CTO786448 CJS786448 BZW786448 BQA786448 BGE786448 AWI786448 AMM786448 ACQ786448 SU786448 IY786448 C786448 WVK720912 WLO720912 WBS720912 VRW720912 VIA720912 UYE720912 UOI720912 UEM720912 TUQ720912 TKU720912 TAY720912 SRC720912 SHG720912 RXK720912 RNO720912 RDS720912 QTW720912 QKA720912 QAE720912 PQI720912 PGM720912 OWQ720912 OMU720912 OCY720912 NTC720912 NJG720912 MZK720912 MPO720912 MFS720912 LVW720912 LMA720912 LCE720912 KSI720912 KIM720912 JYQ720912 JOU720912 JEY720912 IVC720912 ILG720912 IBK720912 HRO720912 HHS720912 GXW720912 GOA720912 GEE720912 FUI720912 FKM720912 FAQ720912 EQU720912 EGY720912 DXC720912 DNG720912 DDK720912 CTO720912 CJS720912 BZW720912 BQA720912 BGE720912 AWI720912 AMM720912 ACQ720912 SU720912 IY720912 C720912 WVK655376 WLO655376 WBS655376 VRW655376 VIA655376 UYE655376 UOI655376 UEM655376 TUQ655376 TKU655376 TAY655376 SRC655376 SHG655376 RXK655376 RNO655376 RDS655376 QTW655376 QKA655376 QAE655376 PQI655376 PGM655376 OWQ655376 OMU655376 OCY655376 NTC655376 NJG655376 MZK655376 MPO655376 MFS655376 LVW655376 LMA655376 LCE655376 KSI655376 KIM655376 JYQ655376 JOU655376 JEY655376 IVC655376 ILG655376 IBK655376 HRO655376 HHS655376 GXW655376 GOA655376 GEE655376 FUI655376 FKM655376 FAQ655376 EQU655376 EGY655376 DXC655376 DNG655376 DDK655376 CTO655376 CJS655376 BZW655376 BQA655376 BGE655376 AWI655376 AMM655376 ACQ655376 SU655376 IY655376 C655376 WVK589840 WLO589840 WBS589840 VRW589840 VIA589840 UYE589840 UOI589840 UEM589840 TUQ589840 TKU589840 TAY589840 SRC589840 SHG589840 RXK589840 RNO589840 RDS589840 QTW589840 QKA589840 QAE589840 PQI589840 PGM589840 OWQ589840 OMU589840 OCY589840 NTC589840 NJG589840 MZK589840 MPO589840 MFS589840 LVW589840 LMA589840 LCE589840 KSI589840 KIM589840 JYQ589840 JOU589840 JEY589840 IVC589840 ILG589840 IBK589840 HRO589840 HHS589840 GXW589840 GOA589840 GEE589840 FUI589840 FKM589840 FAQ589840 EQU589840 EGY589840 DXC589840 DNG589840 DDK589840 CTO589840 CJS589840 BZW589840 BQA589840 BGE589840 AWI589840 AMM589840 ACQ589840 SU589840 IY589840 C589840 WVK524304 WLO524304 WBS524304 VRW524304 VIA524304 UYE524304 UOI524304 UEM524304 TUQ524304 TKU524304 TAY524304 SRC524304 SHG524304 RXK524304 RNO524304 RDS524304 QTW524304 QKA524304 QAE524304 PQI524304 PGM524304 OWQ524304 OMU524304 OCY524304 NTC524304 NJG524304 MZK524304 MPO524304 MFS524304 LVW524304 LMA524304 LCE524304 KSI524304 KIM524304 JYQ524304 JOU524304 JEY524304 IVC524304 ILG524304 IBK524304 HRO524304 HHS524304 GXW524304 GOA524304 GEE524304 FUI524304 FKM524304 FAQ524304 EQU524304 EGY524304 DXC524304 DNG524304 DDK524304 CTO524304 CJS524304 BZW524304 BQA524304 BGE524304 AWI524304 AMM524304 ACQ524304 SU524304 IY524304 C524304 WVK458768 WLO458768 WBS458768 VRW458768 VIA458768 UYE458768 UOI458768 UEM458768 TUQ458768 TKU458768 TAY458768 SRC458768 SHG458768 RXK458768 RNO458768 RDS458768 QTW458768 QKA458768 QAE458768 PQI458768 PGM458768 OWQ458768 OMU458768 OCY458768 NTC458768 NJG458768 MZK458768 MPO458768 MFS458768 LVW458768 LMA458768 LCE458768 KSI458768 KIM458768 JYQ458768 JOU458768 JEY458768 IVC458768 ILG458768 IBK458768 HRO458768 HHS458768 GXW458768 GOA458768 GEE458768 FUI458768 FKM458768 FAQ458768 EQU458768 EGY458768 DXC458768 DNG458768 DDK458768 CTO458768 CJS458768 BZW458768 BQA458768 BGE458768 AWI458768 AMM458768 ACQ458768 SU458768 IY458768 C458768 WVK393232 WLO393232 WBS393232 VRW393232 VIA393232 UYE393232 UOI393232 UEM393232 TUQ393232 TKU393232 TAY393232 SRC393232 SHG393232 RXK393232 RNO393232 RDS393232 QTW393232 QKA393232 QAE393232 PQI393232 PGM393232 OWQ393232 OMU393232 OCY393232 NTC393232 NJG393232 MZK393232 MPO393232 MFS393232 LVW393232 LMA393232 LCE393232 KSI393232 KIM393232 JYQ393232 JOU393232 JEY393232 IVC393232 ILG393232 IBK393232 HRO393232 HHS393232 GXW393232 GOA393232 GEE393232 FUI393232 FKM393232 FAQ393232 EQU393232 EGY393232 DXC393232 DNG393232 DDK393232 CTO393232 CJS393232 BZW393232 BQA393232 BGE393232 AWI393232 AMM393232 ACQ393232 SU393232 IY393232 C393232 WVK327696 WLO327696 WBS327696 VRW327696 VIA327696 UYE327696 UOI327696 UEM327696 TUQ327696 TKU327696 TAY327696 SRC327696 SHG327696 RXK327696 RNO327696 RDS327696 QTW327696 QKA327696 QAE327696 PQI327696 PGM327696 OWQ327696 OMU327696 OCY327696 NTC327696 NJG327696 MZK327696 MPO327696 MFS327696 LVW327696 LMA327696 LCE327696 KSI327696 KIM327696 JYQ327696 JOU327696 JEY327696 IVC327696 ILG327696 IBK327696 HRO327696 HHS327696 GXW327696 GOA327696 GEE327696 FUI327696 FKM327696 FAQ327696 EQU327696 EGY327696 DXC327696 DNG327696 DDK327696 CTO327696 CJS327696 BZW327696 BQA327696 BGE327696 AWI327696 AMM327696 ACQ327696 SU327696 IY327696 C327696 WVK262160 WLO262160 WBS262160 VRW262160 VIA262160 UYE262160 UOI262160 UEM262160 TUQ262160 TKU262160 TAY262160 SRC262160 SHG262160 RXK262160 RNO262160 RDS262160 QTW262160 QKA262160 QAE262160 PQI262160 PGM262160 OWQ262160 OMU262160 OCY262160 NTC262160 NJG262160 MZK262160 MPO262160 MFS262160 LVW262160 LMA262160 LCE262160 KSI262160 KIM262160 JYQ262160 JOU262160 JEY262160 IVC262160 ILG262160 IBK262160 HRO262160 HHS262160 GXW262160 GOA262160 GEE262160 FUI262160 FKM262160 FAQ262160 EQU262160 EGY262160 DXC262160 DNG262160 DDK262160 CTO262160 CJS262160 BZW262160 BQA262160 BGE262160 AWI262160 AMM262160 ACQ262160 SU262160 IY262160 C262160 WVK196624 WLO196624 WBS196624 VRW196624 VIA196624 UYE196624 UOI196624 UEM196624 TUQ196624 TKU196624 TAY196624 SRC196624 SHG196624 RXK196624 RNO196624 RDS196624 QTW196624 QKA196624 QAE196624 PQI196624 PGM196624 OWQ196624 OMU196624 OCY196624 NTC196624 NJG196624 MZK196624 MPO196624 MFS196624 LVW196624 LMA196624 LCE196624 KSI196624 KIM196624 JYQ196624 JOU196624 JEY196624 IVC196624 ILG196624 IBK196624 HRO196624 HHS196624 GXW196624 GOA196624 GEE196624 FUI196624 FKM196624 FAQ196624 EQU196624 EGY196624 DXC196624 DNG196624 DDK196624 CTO196624 CJS196624 BZW196624 BQA196624 BGE196624 AWI196624 AMM196624 ACQ196624 SU196624 IY196624 C196624 WVK131088 WLO131088 WBS131088 VRW131088 VIA131088 UYE131088 UOI131088 UEM131088 TUQ131088 TKU131088 TAY131088 SRC131088 SHG131088 RXK131088 RNO131088 RDS131088 QTW131088 QKA131088 QAE131088 PQI131088 PGM131088 OWQ131088 OMU131088 OCY131088 NTC131088 NJG131088 MZK131088 MPO131088 MFS131088 LVW131088 LMA131088 LCE131088 KSI131088 KIM131088 JYQ131088 JOU131088 JEY131088 IVC131088 ILG131088 IBK131088 HRO131088 HHS131088 GXW131088 GOA131088 GEE131088 FUI131088 FKM131088 FAQ131088 EQU131088 EGY131088 DXC131088 DNG131088 DDK131088 CTO131088 CJS131088 BZW131088 BQA131088 BGE131088 AWI131088 AMM131088 ACQ131088 SU131088 IY131088 C131088 WVK65552 WLO65552 WBS65552 VRW65552 VIA65552 UYE65552 UOI65552 UEM65552 TUQ65552 TKU65552 TAY65552 SRC65552 SHG65552 RXK65552 RNO65552 RDS65552 QTW65552 QKA65552 QAE65552 PQI65552 PGM65552 OWQ65552 OMU65552 OCY65552 NTC65552 NJG65552 MZK65552 MPO65552 MFS65552 LVW65552 LMA65552 LCE65552 KSI65552 KIM65552 JYQ65552 JOU65552 JEY65552 IVC65552 ILG65552 IBK65552 HRO65552 HHS65552 GXW65552 GOA65552 GEE65552 FUI65552 FKM65552 FAQ65552 EQU65552 EGY65552 DXC65552 DNG65552 DDK65552 CTO65552 CJS65552 BZW65552 BQA65552 BGE65552 AWI65552 AMM65552 ACQ65552 SU65552 IY65552 C65552 WVK30:WVK32 WLO30:WLO32 WBS30:WBS32 VRW30:VRW32 VIA30:VIA32 UYE30:UYE32 UOI30:UOI32 UEM30:UEM32 TUQ30:TUQ32 TKU30:TKU32 TAY30:TAY32 SRC30:SRC32 SHG30:SHG32 RXK30:RXK32 RNO30:RNO32 RDS30:RDS32 QTW30:QTW32 QKA30:QKA32 QAE30:QAE32 PQI30:PQI32 PGM30:PGM32 OWQ30:OWQ32 OMU30:OMU32 OCY30:OCY32 NTC30:NTC32 NJG30:NJG32 MZK30:MZK32 MPO30:MPO32 MFS30:MFS32 LVW30:LVW32 LMA30:LMA32 LCE30:LCE32 KSI30:KSI32 KIM30:KIM32 JYQ30:JYQ32 JOU30:JOU32 JEY30:JEY32 IVC30:IVC32 ILG30:ILG32 IBK30:IBK32 HRO30:HRO32 HHS30:HHS32 GXW30:GXW32 GOA30:GOA32 GEE30:GEE32 FUI30:FUI32 FKM30:FKM32 FAQ30:FAQ32 EQU30:EQU32 EGY30:EGY32 DXC30:DXC32 DNG30:DNG32 DDK30:DDK32 CTO30:CTO32 CJS30:CJS32 BZW30:BZW32 BQA30:BQA32 BGE30:BGE32 AWI30:AWI32 AMM30:AMM32 ACQ30:ACQ32 SU30:SU32">
      <formula1>$D$17:$D$20</formula1>
    </dataValidation>
    <dataValidation type="list" allowBlank="1" showInputMessage="1" showErrorMessage="1" sqref="WVJ983056 B30:B31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B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B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B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B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B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B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B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B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B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B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B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B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B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B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B65552 WVJ30:WVJ32 WLN30:WLN32 WBR30:WBR32 VRV30:VRV32 VHZ30:VHZ32 UYD30:UYD32 UOH30:UOH32 UEL30:UEL32 TUP30:TUP32 TKT30:TKT32 TAX30:TAX32 SRB30:SRB32 SHF30:SHF32 RXJ30:RXJ32 RNN30:RNN32 RDR30:RDR32 QTV30:QTV32 QJZ30:QJZ32 QAD30:QAD32 PQH30:PQH32 PGL30:PGL32 OWP30:OWP32 OMT30:OMT32 OCX30:OCX32 NTB30:NTB32 NJF30:NJF32 MZJ30:MZJ32 MPN30:MPN32 MFR30:MFR32 LVV30:LVV32 LLZ30:LLZ32 LCD30:LCD32 KSH30:KSH32 KIL30:KIL32 JYP30:JYP32 JOT30:JOT32 JEX30:JEX32 IVB30:IVB32 ILF30:ILF32 IBJ30:IBJ32 HRN30:HRN32 HHR30:HHR32 GXV30:GXV32 GNZ30:GNZ32 GED30:GED32 FUH30:FUH32 FKL30:FKL32 FAP30:FAP32 EQT30:EQT32 EGX30:EGX32 DXB30:DXB32 DNF30:DNF32 DDJ30:DDJ32 CTN30:CTN32 CJR30:CJR32 BZV30:BZV32 BPZ30:BPZ32 BGD30:BGD32 AWH30:AWH32 AML30:AML32 ACP30:ACP32 ST30:ST32 IX30:IX32 L30">
      <formula1>$B$17:$B$21</formula1>
    </dataValidation>
    <dataValidation type="list" allowBlank="1" showInputMessage="1" showErrorMessage="1" sqref="M65552:M65554 JI65552:JI65554 TE65552:TE65554 ADA65552:ADA65554 AMW65552:AMW65554 AWS65552:AWS65554 BGO65552:BGO65554 BQK65552:BQK65554 CAG65552:CAG65554 CKC65552:CKC65554 CTY65552:CTY65554 DDU65552:DDU65554 DNQ65552:DNQ65554 DXM65552:DXM65554 EHI65552:EHI65554 ERE65552:ERE65554 FBA65552:FBA65554 FKW65552:FKW65554 FUS65552:FUS65554 GEO65552:GEO65554 GOK65552:GOK65554 GYG65552:GYG65554 HIC65552:HIC65554 HRY65552:HRY65554 IBU65552:IBU65554 ILQ65552:ILQ65554 IVM65552:IVM65554 JFI65552:JFI65554 JPE65552:JPE65554 JZA65552:JZA65554 KIW65552:KIW65554 KSS65552:KSS65554 LCO65552:LCO65554 LMK65552:LMK65554 LWG65552:LWG65554 MGC65552:MGC65554 MPY65552:MPY65554 MZU65552:MZU65554 NJQ65552:NJQ65554 NTM65552:NTM65554 ODI65552:ODI65554 ONE65552:ONE65554 OXA65552:OXA65554 PGW65552:PGW65554 PQS65552:PQS65554 QAO65552:QAO65554 QKK65552:QKK65554 QUG65552:QUG65554 REC65552:REC65554 RNY65552:RNY65554 RXU65552:RXU65554 SHQ65552:SHQ65554 SRM65552:SRM65554 TBI65552:TBI65554 TLE65552:TLE65554 TVA65552:TVA65554 UEW65552:UEW65554 UOS65552:UOS65554 UYO65552:UYO65554 VIK65552:VIK65554 VSG65552:VSG65554 WCC65552:WCC65554 WLY65552:WLY65554 WVU65552:WVU65554 M131088:M131090 JI131088:JI131090 TE131088:TE131090 ADA131088:ADA131090 AMW131088:AMW131090 AWS131088:AWS131090 BGO131088:BGO131090 BQK131088:BQK131090 CAG131088:CAG131090 CKC131088:CKC131090 CTY131088:CTY131090 DDU131088:DDU131090 DNQ131088:DNQ131090 DXM131088:DXM131090 EHI131088:EHI131090 ERE131088:ERE131090 FBA131088:FBA131090 FKW131088:FKW131090 FUS131088:FUS131090 GEO131088:GEO131090 GOK131088:GOK131090 GYG131088:GYG131090 HIC131088:HIC131090 HRY131088:HRY131090 IBU131088:IBU131090 ILQ131088:ILQ131090 IVM131088:IVM131090 JFI131088:JFI131090 JPE131088:JPE131090 JZA131088:JZA131090 KIW131088:KIW131090 KSS131088:KSS131090 LCO131088:LCO131090 LMK131088:LMK131090 LWG131088:LWG131090 MGC131088:MGC131090 MPY131088:MPY131090 MZU131088:MZU131090 NJQ131088:NJQ131090 NTM131088:NTM131090 ODI131088:ODI131090 ONE131088:ONE131090 OXA131088:OXA131090 PGW131088:PGW131090 PQS131088:PQS131090 QAO131088:QAO131090 QKK131088:QKK131090 QUG131088:QUG131090 REC131088:REC131090 RNY131088:RNY131090 RXU131088:RXU131090 SHQ131088:SHQ131090 SRM131088:SRM131090 TBI131088:TBI131090 TLE131088:TLE131090 TVA131088:TVA131090 UEW131088:UEW131090 UOS131088:UOS131090 UYO131088:UYO131090 VIK131088:VIK131090 VSG131088:VSG131090 WCC131088:WCC131090 WLY131088:WLY131090 WVU131088:WVU131090 M196624:M196626 JI196624:JI196626 TE196624:TE196626 ADA196624:ADA196626 AMW196624:AMW196626 AWS196624:AWS196626 BGO196624:BGO196626 BQK196624:BQK196626 CAG196624:CAG196626 CKC196624:CKC196626 CTY196624:CTY196626 DDU196624:DDU196626 DNQ196624:DNQ196626 DXM196624:DXM196626 EHI196624:EHI196626 ERE196624:ERE196626 FBA196624:FBA196626 FKW196624:FKW196626 FUS196624:FUS196626 GEO196624:GEO196626 GOK196624:GOK196626 GYG196624:GYG196626 HIC196624:HIC196626 HRY196624:HRY196626 IBU196624:IBU196626 ILQ196624:ILQ196626 IVM196624:IVM196626 JFI196624:JFI196626 JPE196624:JPE196626 JZA196624:JZA196626 KIW196624:KIW196626 KSS196624:KSS196626 LCO196624:LCO196626 LMK196624:LMK196626 LWG196624:LWG196626 MGC196624:MGC196626 MPY196624:MPY196626 MZU196624:MZU196626 NJQ196624:NJQ196626 NTM196624:NTM196626 ODI196624:ODI196626 ONE196624:ONE196626 OXA196624:OXA196626 PGW196624:PGW196626 PQS196624:PQS196626 QAO196624:QAO196626 QKK196624:QKK196626 QUG196624:QUG196626 REC196624:REC196626 RNY196624:RNY196626 RXU196624:RXU196626 SHQ196624:SHQ196626 SRM196624:SRM196626 TBI196624:TBI196626 TLE196624:TLE196626 TVA196624:TVA196626 UEW196624:UEW196626 UOS196624:UOS196626 UYO196624:UYO196626 VIK196624:VIK196626 VSG196624:VSG196626 WCC196624:WCC196626 WLY196624:WLY196626 WVU196624:WVU196626 M262160:M262162 JI262160:JI262162 TE262160:TE262162 ADA262160:ADA262162 AMW262160:AMW262162 AWS262160:AWS262162 BGO262160:BGO262162 BQK262160:BQK262162 CAG262160:CAG262162 CKC262160:CKC262162 CTY262160:CTY262162 DDU262160:DDU262162 DNQ262160:DNQ262162 DXM262160:DXM262162 EHI262160:EHI262162 ERE262160:ERE262162 FBA262160:FBA262162 FKW262160:FKW262162 FUS262160:FUS262162 GEO262160:GEO262162 GOK262160:GOK262162 GYG262160:GYG262162 HIC262160:HIC262162 HRY262160:HRY262162 IBU262160:IBU262162 ILQ262160:ILQ262162 IVM262160:IVM262162 JFI262160:JFI262162 JPE262160:JPE262162 JZA262160:JZA262162 KIW262160:KIW262162 KSS262160:KSS262162 LCO262160:LCO262162 LMK262160:LMK262162 LWG262160:LWG262162 MGC262160:MGC262162 MPY262160:MPY262162 MZU262160:MZU262162 NJQ262160:NJQ262162 NTM262160:NTM262162 ODI262160:ODI262162 ONE262160:ONE262162 OXA262160:OXA262162 PGW262160:PGW262162 PQS262160:PQS262162 QAO262160:QAO262162 QKK262160:QKK262162 QUG262160:QUG262162 REC262160:REC262162 RNY262160:RNY262162 RXU262160:RXU262162 SHQ262160:SHQ262162 SRM262160:SRM262162 TBI262160:TBI262162 TLE262160:TLE262162 TVA262160:TVA262162 UEW262160:UEW262162 UOS262160:UOS262162 UYO262160:UYO262162 VIK262160:VIK262162 VSG262160:VSG262162 WCC262160:WCC262162 WLY262160:WLY262162 WVU262160:WVU262162 M327696:M327698 JI327696:JI327698 TE327696:TE327698 ADA327696:ADA327698 AMW327696:AMW327698 AWS327696:AWS327698 BGO327696:BGO327698 BQK327696:BQK327698 CAG327696:CAG327698 CKC327696:CKC327698 CTY327696:CTY327698 DDU327696:DDU327698 DNQ327696:DNQ327698 DXM327696:DXM327698 EHI327696:EHI327698 ERE327696:ERE327698 FBA327696:FBA327698 FKW327696:FKW327698 FUS327696:FUS327698 GEO327696:GEO327698 GOK327696:GOK327698 GYG327696:GYG327698 HIC327696:HIC327698 HRY327696:HRY327698 IBU327696:IBU327698 ILQ327696:ILQ327698 IVM327696:IVM327698 JFI327696:JFI327698 JPE327696:JPE327698 JZA327696:JZA327698 KIW327696:KIW327698 KSS327696:KSS327698 LCO327696:LCO327698 LMK327696:LMK327698 LWG327696:LWG327698 MGC327696:MGC327698 MPY327696:MPY327698 MZU327696:MZU327698 NJQ327696:NJQ327698 NTM327696:NTM327698 ODI327696:ODI327698 ONE327696:ONE327698 OXA327696:OXA327698 PGW327696:PGW327698 PQS327696:PQS327698 QAO327696:QAO327698 QKK327696:QKK327698 QUG327696:QUG327698 REC327696:REC327698 RNY327696:RNY327698 RXU327696:RXU327698 SHQ327696:SHQ327698 SRM327696:SRM327698 TBI327696:TBI327698 TLE327696:TLE327698 TVA327696:TVA327698 UEW327696:UEW327698 UOS327696:UOS327698 UYO327696:UYO327698 VIK327696:VIK327698 VSG327696:VSG327698 WCC327696:WCC327698 WLY327696:WLY327698 WVU327696:WVU327698 M393232:M393234 JI393232:JI393234 TE393232:TE393234 ADA393232:ADA393234 AMW393232:AMW393234 AWS393232:AWS393234 BGO393232:BGO393234 BQK393232:BQK393234 CAG393232:CAG393234 CKC393232:CKC393234 CTY393232:CTY393234 DDU393232:DDU393234 DNQ393232:DNQ393234 DXM393232:DXM393234 EHI393232:EHI393234 ERE393232:ERE393234 FBA393232:FBA393234 FKW393232:FKW393234 FUS393232:FUS393234 GEO393232:GEO393234 GOK393232:GOK393234 GYG393232:GYG393234 HIC393232:HIC393234 HRY393232:HRY393234 IBU393232:IBU393234 ILQ393232:ILQ393234 IVM393232:IVM393234 JFI393232:JFI393234 JPE393232:JPE393234 JZA393232:JZA393234 KIW393232:KIW393234 KSS393232:KSS393234 LCO393232:LCO393234 LMK393232:LMK393234 LWG393232:LWG393234 MGC393232:MGC393234 MPY393232:MPY393234 MZU393232:MZU393234 NJQ393232:NJQ393234 NTM393232:NTM393234 ODI393232:ODI393234 ONE393232:ONE393234 OXA393232:OXA393234 PGW393232:PGW393234 PQS393232:PQS393234 QAO393232:QAO393234 QKK393232:QKK393234 QUG393232:QUG393234 REC393232:REC393234 RNY393232:RNY393234 RXU393232:RXU393234 SHQ393232:SHQ393234 SRM393232:SRM393234 TBI393232:TBI393234 TLE393232:TLE393234 TVA393232:TVA393234 UEW393232:UEW393234 UOS393232:UOS393234 UYO393232:UYO393234 VIK393232:VIK393234 VSG393232:VSG393234 WCC393232:WCC393234 WLY393232:WLY393234 WVU393232:WVU393234 M458768:M458770 JI458768:JI458770 TE458768:TE458770 ADA458768:ADA458770 AMW458768:AMW458770 AWS458768:AWS458770 BGO458768:BGO458770 BQK458768:BQK458770 CAG458768:CAG458770 CKC458768:CKC458770 CTY458768:CTY458770 DDU458768:DDU458770 DNQ458768:DNQ458770 DXM458768:DXM458770 EHI458768:EHI458770 ERE458768:ERE458770 FBA458768:FBA458770 FKW458768:FKW458770 FUS458768:FUS458770 GEO458768:GEO458770 GOK458768:GOK458770 GYG458768:GYG458770 HIC458768:HIC458770 HRY458768:HRY458770 IBU458768:IBU458770 ILQ458768:ILQ458770 IVM458768:IVM458770 JFI458768:JFI458770 JPE458768:JPE458770 JZA458768:JZA458770 KIW458768:KIW458770 KSS458768:KSS458770 LCO458768:LCO458770 LMK458768:LMK458770 LWG458768:LWG458770 MGC458768:MGC458770 MPY458768:MPY458770 MZU458768:MZU458770 NJQ458768:NJQ458770 NTM458768:NTM458770 ODI458768:ODI458770 ONE458768:ONE458770 OXA458768:OXA458770 PGW458768:PGW458770 PQS458768:PQS458770 QAO458768:QAO458770 QKK458768:QKK458770 QUG458768:QUG458770 REC458768:REC458770 RNY458768:RNY458770 RXU458768:RXU458770 SHQ458768:SHQ458770 SRM458768:SRM458770 TBI458768:TBI458770 TLE458768:TLE458770 TVA458768:TVA458770 UEW458768:UEW458770 UOS458768:UOS458770 UYO458768:UYO458770 VIK458768:VIK458770 VSG458768:VSG458770 WCC458768:WCC458770 WLY458768:WLY458770 WVU458768:WVU458770 M524304:M524306 JI524304:JI524306 TE524304:TE524306 ADA524304:ADA524306 AMW524304:AMW524306 AWS524304:AWS524306 BGO524304:BGO524306 BQK524304:BQK524306 CAG524304:CAG524306 CKC524304:CKC524306 CTY524304:CTY524306 DDU524304:DDU524306 DNQ524304:DNQ524306 DXM524304:DXM524306 EHI524304:EHI524306 ERE524304:ERE524306 FBA524304:FBA524306 FKW524304:FKW524306 FUS524304:FUS524306 GEO524304:GEO524306 GOK524304:GOK524306 GYG524304:GYG524306 HIC524304:HIC524306 HRY524304:HRY524306 IBU524304:IBU524306 ILQ524304:ILQ524306 IVM524304:IVM524306 JFI524304:JFI524306 JPE524304:JPE524306 JZA524304:JZA524306 KIW524304:KIW524306 KSS524304:KSS524306 LCO524304:LCO524306 LMK524304:LMK524306 LWG524304:LWG524306 MGC524304:MGC524306 MPY524304:MPY524306 MZU524304:MZU524306 NJQ524304:NJQ524306 NTM524304:NTM524306 ODI524304:ODI524306 ONE524304:ONE524306 OXA524304:OXA524306 PGW524304:PGW524306 PQS524304:PQS524306 QAO524304:QAO524306 QKK524304:QKK524306 QUG524304:QUG524306 REC524304:REC524306 RNY524304:RNY524306 RXU524304:RXU524306 SHQ524304:SHQ524306 SRM524304:SRM524306 TBI524304:TBI524306 TLE524304:TLE524306 TVA524304:TVA524306 UEW524304:UEW524306 UOS524304:UOS524306 UYO524304:UYO524306 VIK524304:VIK524306 VSG524304:VSG524306 WCC524304:WCC524306 WLY524304:WLY524306 WVU524304:WVU524306 M589840:M589842 JI589840:JI589842 TE589840:TE589842 ADA589840:ADA589842 AMW589840:AMW589842 AWS589840:AWS589842 BGO589840:BGO589842 BQK589840:BQK589842 CAG589840:CAG589842 CKC589840:CKC589842 CTY589840:CTY589842 DDU589840:DDU589842 DNQ589840:DNQ589842 DXM589840:DXM589842 EHI589840:EHI589842 ERE589840:ERE589842 FBA589840:FBA589842 FKW589840:FKW589842 FUS589840:FUS589842 GEO589840:GEO589842 GOK589840:GOK589842 GYG589840:GYG589842 HIC589840:HIC589842 HRY589840:HRY589842 IBU589840:IBU589842 ILQ589840:ILQ589842 IVM589840:IVM589842 JFI589840:JFI589842 JPE589840:JPE589842 JZA589840:JZA589842 KIW589840:KIW589842 KSS589840:KSS589842 LCO589840:LCO589842 LMK589840:LMK589842 LWG589840:LWG589842 MGC589840:MGC589842 MPY589840:MPY589842 MZU589840:MZU589842 NJQ589840:NJQ589842 NTM589840:NTM589842 ODI589840:ODI589842 ONE589840:ONE589842 OXA589840:OXA589842 PGW589840:PGW589842 PQS589840:PQS589842 QAO589840:QAO589842 QKK589840:QKK589842 QUG589840:QUG589842 REC589840:REC589842 RNY589840:RNY589842 RXU589840:RXU589842 SHQ589840:SHQ589842 SRM589840:SRM589842 TBI589840:TBI589842 TLE589840:TLE589842 TVA589840:TVA589842 UEW589840:UEW589842 UOS589840:UOS589842 UYO589840:UYO589842 VIK589840:VIK589842 VSG589840:VSG589842 WCC589840:WCC589842 WLY589840:WLY589842 WVU589840:WVU589842 M655376:M655378 JI655376:JI655378 TE655376:TE655378 ADA655376:ADA655378 AMW655376:AMW655378 AWS655376:AWS655378 BGO655376:BGO655378 BQK655376:BQK655378 CAG655376:CAG655378 CKC655376:CKC655378 CTY655376:CTY655378 DDU655376:DDU655378 DNQ655376:DNQ655378 DXM655376:DXM655378 EHI655376:EHI655378 ERE655376:ERE655378 FBA655376:FBA655378 FKW655376:FKW655378 FUS655376:FUS655378 GEO655376:GEO655378 GOK655376:GOK655378 GYG655376:GYG655378 HIC655376:HIC655378 HRY655376:HRY655378 IBU655376:IBU655378 ILQ655376:ILQ655378 IVM655376:IVM655378 JFI655376:JFI655378 JPE655376:JPE655378 JZA655376:JZA655378 KIW655376:KIW655378 KSS655376:KSS655378 LCO655376:LCO655378 LMK655376:LMK655378 LWG655376:LWG655378 MGC655376:MGC655378 MPY655376:MPY655378 MZU655376:MZU655378 NJQ655376:NJQ655378 NTM655376:NTM655378 ODI655376:ODI655378 ONE655376:ONE655378 OXA655376:OXA655378 PGW655376:PGW655378 PQS655376:PQS655378 QAO655376:QAO655378 QKK655376:QKK655378 QUG655376:QUG655378 REC655376:REC655378 RNY655376:RNY655378 RXU655376:RXU655378 SHQ655376:SHQ655378 SRM655376:SRM655378 TBI655376:TBI655378 TLE655376:TLE655378 TVA655376:TVA655378 UEW655376:UEW655378 UOS655376:UOS655378 UYO655376:UYO655378 VIK655376:VIK655378 VSG655376:VSG655378 WCC655376:WCC655378 WLY655376:WLY655378 WVU655376:WVU655378 M720912:M720914 JI720912:JI720914 TE720912:TE720914 ADA720912:ADA720914 AMW720912:AMW720914 AWS720912:AWS720914 BGO720912:BGO720914 BQK720912:BQK720914 CAG720912:CAG720914 CKC720912:CKC720914 CTY720912:CTY720914 DDU720912:DDU720914 DNQ720912:DNQ720914 DXM720912:DXM720914 EHI720912:EHI720914 ERE720912:ERE720914 FBA720912:FBA720914 FKW720912:FKW720914 FUS720912:FUS720914 GEO720912:GEO720914 GOK720912:GOK720914 GYG720912:GYG720914 HIC720912:HIC720914 HRY720912:HRY720914 IBU720912:IBU720914 ILQ720912:ILQ720914 IVM720912:IVM720914 JFI720912:JFI720914 JPE720912:JPE720914 JZA720912:JZA720914 KIW720912:KIW720914 KSS720912:KSS720914 LCO720912:LCO720914 LMK720912:LMK720914 LWG720912:LWG720914 MGC720912:MGC720914 MPY720912:MPY720914 MZU720912:MZU720914 NJQ720912:NJQ720914 NTM720912:NTM720914 ODI720912:ODI720914 ONE720912:ONE720914 OXA720912:OXA720914 PGW720912:PGW720914 PQS720912:PQS720914 QAO720912:QAO720914 QKK720912:QKK720914 QUG720912:QUG720914 REC720912:REC720914 RNY720912:RNY720914 RXU720912:RXU720914 SHQ720912:SHQ720914 SRM720912:SRM720914 TBI720912:TBI720914 TLE720912:TLE720914 TVA720912:TVA720914 UEW720912:UEW720914 UOS720912:UOS720914 UYO720912:UYO720914 VIK720912:VIK720914 VSG720912:VSG720914 WCC720912:WCC720914 WLY720912:WLY720914 WVU720912:WVU720914 M786448:M786450 JI786448:JI786450 TE786448:TE786450 ADA786448:ADA786450 AMW786448:AMW786450 AWS786448:AWS786450 BGO786448:BGO786450 BQK786448:BQK786450 CAG786448:CAG786450 CKC786448:CKC786450 CTY786448:CTY786450 DDU786448:DDU786450 DNQ786448:DNQ786450 DXM786448:DXM786450 EHI786448:EHI786450 ERE786448:ERE786450 FBA786448:FBA786450 FKW786448:FKW786450 FUS786448:FUS786450 GEO786448:GEO786450 GOK786448:GOK786450 GYG786448:GYG786450 HIC786448:HIC786450 HRY786448:HRY786450 IBU786448:IBU786450 ILQ786448:ILQ786450 IVM786448:IVM786450 JFI786448:JFI786450 JPE786448:JPE786450 JZA786448:JZA786450 KIW786448:KIW786450 KSS786448:KSS786450 LCO786448:LCO786450 LMK786448:LMK786450 LWG786448:LWG786450 MGC786448:MGC786450 MPY786448:MPY786450 MZU786448:MZU786450 NJQ786448:NJQ786450 NTM786448:NTM786450 ODI786448:ODI786450 ONE786448:ONE786450 OXA786448:OXA786450 PGW786448:PGW786450 PQS786448:PQS786450 QAO786448:QAO786450 QKK786448:QKK786450 QUG786448:QUG786450 REC786448:REC786450 RNY786448:RNY786450 RXU786448:RXU786450 SHQ786448:SHQ786450 SRM786448:SRM786450 TBI786448:TBI786450 TLE786448:TLE786450 TVA786448:TVA786450 UEW786448:UEW786450 UOS786448:UOS786450 UYO786448:UYO786450 VIK786448:VIK786450 VSG786448:VSG786450 WCC786448:WCC786450 WLY786448:WLY786450 WVU786448:WVU786450 M851984:M851986 JI851984:JI851986 TE851984:TE851986 ADA851984:ADA851986 AMW851984:AMW851986 AWS851984:AWS851986 BGO851984:BGO851986 BQK851984:BQK851986 CAG851984:CAG851986 CKC851984:CKC851986 CTY851984:CTY851986 DDU851984:DDU851986 DNQ851984:DNQ851986 DXM851984:DXM851986 EHI851984:EHI851986 ERE851984:ERE851986 FBA851984:FBA851986 FKW851984:FKW851986 FUS851984:FUS851986 GEO851984:GEO851986 GOK851984:GOK851986 GYG851984:GYG851986 HIC851984:HIC851986 HRY851984:HRY851986 IBU851984:IBU851986 ILQ851984:ILQ851986 IVM851984:IVM851986 JFI851984:JFI851986 JPE851984:JPE851986 JZA851984:JZA851986 KIW851984:KIW851986 KSS851984:KSS851986 LCO851984:LCO851986 LMK851984:LMK851986 LWG851984:LWG851986 MGC851984:MGC851986 MPY851984:MPY851986 MZU851984:MZU851986 NJQ851984:NJQ851986 NTM851984:NTM851986 ODI851984:ODI851986 ONE851984:ONE851986 OXA851984:OXA851986 PGW851984:PGW851986 PQS851984:PQS851986 QAO851984:QAO851986 QKK851984:QKK851986 QUG851984:QUG851986 REC851984:REC851986 RNY851984:RNY851986 RXU851984:RXU851986 SHQ851984:SHQ851986 SRM851984:SRM851986 TBI851984:TBI851986 TLE851984:TLE851986 TVA851984:TVA851986 UEW851984:UEW851986 UOS851984:UOS851986 UYO851984:UYO851986 VIK851984:VIK851986 VSG851984:VSG851986 WCC851984:WCC851986 WLY851984:WLY851986 WVU851984:WVU851986 M917520:M917522 JI917520:JI917522 TE917520:TE917522 ADA917520:ADA917522 AMW917520:AMW917522 AWS917520:AWS917522 BGO917520:BGO917522 BQK917520:BQK917522 CAG917520:CAG917522 CKC917520:CKC917522 CTY917520:CTY917522 DDU917520:DDU917522 DNQ917520:DNQ917522 DXM917520:DXM917522 EHI917520:EHI917522 ERE917520:ERE917522 FBA917520:FBA917522 FKW917520:FKW917522 FUS917520:FUS917522 GEO917520:GEO917522 GOK917520:GOK917522 GYG917520:GYG917522 HIC917520:HIC917522 HRY917520:HRY917522 IBU917520:IBU917522 ILQ917520:ILQ917522 IVM917520:IVM917522 JFI917520:JFI917522 JPE917520:JPE917522 JZA917520:JZA917522 KIW917520:KIW917522 KSS917520:KSS917522 LCO917520:LCO917522 LMK917520:LMK917522 LWG917520:LWG917522 MGC917520:MGC917522 MPY917520:MPY917522 MZU917520:MZU917522 NJQ917520:NJQ917522 NTM917520:NTM917522 ODI917520:ODI917522 ONE917520:ONE917522 OXA917520:OXA917522 PGW917520:PGW917522 PQS917520:PQS917522 QAO917520:QAO917522 QKK917520:QKK917522 QUG917520:QUG917522 REC917520:REC917522 RNY917520:RNY917522 RXU917520:RXU917522 SHQ917520:SHQ917522 SRM917520:SRM917522 TBI917520:TBI917522 TLE917520:TLE917522 TVA917520:TVA917522 UEW917520:UEW917522 UOS917520:UOS917522 UYO917520:UYO917522 VIK917520:VIK917522 VSG917520:VSG917522 WCC917520:WCC917522 WLY917520:WLY917522 WVU917520:WVU917522 M983056:M983058 JI983056:JI983058 TE983056:TE983058 ADA983056:ADA983058 AMW983056:AMW983058 AWS983056:AWS983058 BGO983056:BGO983058 BQK983056:BQK983058 CAG983056:CAG983058 CKC983056:CKC983058 CTY983056:CTY983058 DDU983056:DDU983058 DNQ983056:DNQ983058 DXM983056:DXM983058 EHI983056:EHI983058 ERE983056:ERE983058 FBA983056:FBA983058 FKW983056:FKW983058 FUS983056:FUS983058 GEO983056:GEO983058 GOK983056:GOK983058 GYG983056:GYG983058 HIC983056:HIC983058 HRY983056:HRY983058 IBU983056:IBU983058 ILQ983056:ILQ983058 IVM983056:IVM983058 JFI983056:JFI983058 JPE983056:JPE983058 JZA983056:JZA983058 KIW983056:KIW983058 KSS983056:KSS983058 LCO983056:LCO983058 LMK983056:LMK983058 LWG983056:LWG983058 MGC983056:MGC983058 MPY983056:MPY983058 MZU983056:MZU983058 NJQ983056:NJQ983058 NTM983056:NTM983058 ODI983056:ODI983058 ONE983056:ONE983058 OXA983056:OXA983058 PGW983056:PGW983058 PQS983056:PQS983058 QAO983056:QAO983058 QKK983056:QKK983058 QUG983056:QUG983058 REC983056:REC983058 RNY983056:RNY983058 RXU983056:RXU983058 SHQ983056:SHQ983058 SRM983056:SRM983058 TBI983056:TBI983058 TLE983056:TLE983058 TVA983056:TVA983058 UEW983056:UEW983058 UOS983056:UOS983058 UYO983056:UYO983058 VIK983056:VIK983058 VSG983056:VSG983058 WCC983056:WCC983058 WLY983056:WLY983058 WVU983056:WVU983058 WVU30:WVU32 WLY30:WLY32 WCC30:WCC32 VSG30:VSG32 VIK30:VIK32 UYO30:UYO32 UOS30:UOS32 UEW30:UEW32 TVA30:TVA32 TLE30:TLE32 TBI30:TBI32 SRM30:SRM32 SHQ30:SHQ32 RXU30:RXU32 RNY30:RNY32 REC30:REC32 QUG30:QUG32 QKK30:QKK32 QAO30:QAO32 PQS30:PQS32 PGW30:PGW32 OXA30:OXA32 ONE30:ONE32 ODI30:ODI32 NTM30:NTM32 NJQ30:NJQ32 MZU30:MZU32 MPY30:MPY32 MGC30:MGC32 LWG30:LWG32 LMK30:LMK32 LCO30:LCO32 KSS30:KSS32 KIW30:KIW32 JZA30:JZA32 JPE30:JPE32 JFI30:JFI32 IVM30:IVM32 ILQ30:ILQ32 IBU30:IBU32 HRY30:HRY32 HIC30:HIC32 GYG30:GYG32 GOK30:GOK32 GEO30:GEO32 FUS30:FUS32 FKW30:FKW32 FBA30:FBA32 ERE30:ERE32 EHI30:EHI32 DXM30:DXM32 DNQ30:DNQ32 DDU30:DDU32 CTY30:CTY32 CKC30:CKC32 CAG30:CAG32 BQK30:BQK32 BGO30:BGO32 AWS30:AWS32 AMW30:AMW32 ADA30:ADA32 TE30:TE32 JI30:JI32 M31:M32">
      <formula1>#REF!</formula1>
    </dataValidation>
    <dataValidation type="list" allowBlank="1" showInputMessage="1" showErrorMessage="1" sqref="L65552:L65554 JH65552:JH65554 JH30:JH32 TD30:TD32 ACZ30:ACZ32 AMV30:AMV32 AWR30:AWR32 BGN30:BGN32 BQJ30:BQJ32 CAF30:CAF32 CKB30:CKB32 CTX30:CTX32 DDT30:DDT32 DNP30:DNP32 DXL30:DXL32 EHH30:EHH32 ERD30:ERD32 FAZ30:FAZ32 FKV30:FKV32 FUR30:FUR32 GEN30:GEN32 GOJ30:GOJ32 GYF30:GYF32 HIB30:HIB32 HRX30:HRX32 IBT30:IBT32 ILP30:ILP32 IVL30:IVL32 JFH30:JFH32 JPD30:JPD32 JYZ30:JYZ32 KIV30:KIV32 KSR30:KSR32 LCN30:LCN32 LMJ30:LMJ32 LWF30:LWF32 MGB30:MGB32 MPX30:MPX32 MZT30:MZT32 NJP30:NJP32 NTL30:NTL32 ODH30:ODH32 OND30:OND32 OWZ30:OWZ32 PGV30:PGV32 PQR30:PQR32 QAN30:QAN32 QKJ30:QKJ32 QUF30:QUF32 REB30:REB32 RNX30:RNX32 RXT30:RXT32 SHP30:SHP32 SRL30:SRL32 TBH30:TBH32 TLD30:TLD32 TUZ30:TUZ32 UEV30:UEV32 UOR30:UOR32 UYN30:UYN32 VIJ30:VIJ32 VSF30:VSF32 WCB30:WCB32 WLX30:WLX32 WVT30:WVT32 WVT983056:WVT983058 WLX983056:WLX983058 WCB983056:WCB983058 VSF983056:VSF983058 VIJ983056:VIJ983058 UYN983056:UYN983058 UOR983056:UOR983058 UEV983056:UEV983058 TUZ983056:TUZ983058 TLD983056:TLD983058 TBH983056:TBH983058 SRL983056:SRL983058 SHP983056:SHP983058 RXT983056:RXT983058 RNX983056:RNX983058 REB983056:REB983058 QUF983056:QUF983058 QKJ983056:QKJ983058 QAN983056:QAN983058 PQR983056:PQR983058 PGV983056:PGV983058 OWZ983056:OWZ983058 OND983056:OND983058 ODH983056:ODH983058 NTL983056:NTL983058 NJP983056:NJP983058 MZT983056:MZT983058 MPX983056:MPX983058 MGB983056:MGB983058 LWF983056:LWF983058 LMJ983056:LMJ983058 LCN983056:LCN983058 KSR983056:KSR983058 KIV983056:KIV983058 JYZ983056:JYZ983058 JPD983056:JPD983058 JFH983056:JFH983058 IVL983056:IVL983058 ILP983056:ILP983058 IBT983056:IBT983058 HRX983056:HRX983058 HIB983056:HIB983058 GYF983056:GYF983058 GOJ983056:GOJ983058 GEN983056:GEN983058 FUR983056:FUR983058 FKV983056:FKV983058 FAZ983056:FAZ983058 ERD983056:ERD983058 EHH983056:EHH983058 DXL983056:DXL983058 DNP983056:DNP983058 DDT983056:DDT983058 CTX983056:CTX983058 CKB983056:CKB983058 CAF983056:CAF983058 BQJ983056:BQJ983058 BGN983056:BGN983058 AWR983056:AWR983058 AMV983056:AMV983058 ACZ983056:ACZ983058 TD983056:TD983058 JH983056:JH983058 L983056:L983058 WVT917520:WVT917522 WLX917520:WLX917522 WCB917520:WCB917522 VSF917520:VSF917522 VIJ917520:VIJ917522 UYN917520:UYN917522 UOR917520:UOR917522 UEV917520:UEV917522 TUZ917520:TUZ917522 TLD917520:TLD917522 TBH917520:TBH917522 SRL917520:SRL917522 SHP917520:SHP917522 RXT917520:RXT917522 RNX917520:RNX917522 REB917520:REB917522 QUF917520:QUF917522 QKJ917520:QKJ917522 QAN917520:QAN917522 PQR917520:PQR917522 PGV917520:PGV917522 OWZ917520:OWZ917522 OND917520:OND917522 ODH917520:ODH917522 NTL917520:NTL917522 NJP917520:NJP917522 MZT917520:MZT917522 MPX917520:MPX917522 MGB917520:MGB917522 LWF917520:LWF917522 LMJ917520:LMJ917522 LCN917520:LCN917522 KSR917520:KSR917522 KIV917520:KIV917522 JYZ917520:JYZ917522 JPD917520:JPD917522 JFH917520:JFH917522 IVL917520:IVL917522 ILP917520:ILP917522 IBT917520:IBT917522 HRX917520:HRX917522 HIB917520:HIB917522 GYF917520:GYF917522 GOJ917520:GOJ917522 GEN917520:GEN917522 FUR917520:FUR917522 FKV917520:FKV917522 FAZ917520:FAZ917522 ERD917520:ERD917522 EHH917520:EHH917522 DXL917520:DXL917522 DNP917520:DNP917522 DDT917520:DDT917522 CTX917520:CTX917522 CKB917520:CKB917522 CAF917520:CAF917522 BQJ917520:BQJ917522 BGN917520:BGN917522 AWR917520:AWR917522 AMV917520:AMV917522 ACZ917520:ACZ917522 TD917520:TD917522 JH917520:JH917522 L917520:L917522 WVT851984:WVT851986 WLX851984:WLX851986 WCB851984:WCB851986 VSF851984:VSF851986 VIJ851984:VIJ851986 UYN851984:UYN851986 UOR851984:UOR851986 UEV851984:UEV851986 TUZ851984:TUZ851986 TLD851984:TLD851986 TBH851984:TBH851986 SRL851984:SRL851986 SHP851984:SHP851986 RXT851984:RXT851986 RNX851984:RNX851986 REB851984:REB851986 QUF851984:QUF851986 QKJ851984:QKJ851986 QAN851984:QAN851986 PQR851984:PQR851986 PGV851984:PGV851986 OWZ851984:OWZ851986 OND851984:OND851986 ODH851984:ODH851986 NTL851984:NTL851986 NJP851984:NJP851986 MZT851984:MZT851986 MPX851984:MPX851986 MGB851984:MGB851986 LWF851984:LWF851986 LMJ851984:LMJ851986 LCN851984:LCN851986 KSR851984:KSR851986 KIV851984:KIV851986 JYZ851984:JYZ851986 JPD851984:JPD851986 JFH851984:JFH851986 IVL851984:IVL851986 ILP851984:ILP851986 IBT851984:IBT851986 HRX851984:HRX851986 HIB851984:HIB851986 GYF851984:GYF851986 GOJ851984:GOJ851986 GEN851984:GEN851986 FUR851984:FUR851986 FKV851984:FKV851986 FAZ851984:FAZ851986 ERD851984:ERD851986 EHH851984:EHH851986 DXL851984:DXL851986 DNP851984:DNP851986 DDT851984:DDT851986 CTX851984:CTX851986 CKB851984:CKB851986 CAF851984:CAF851986 BQJ851984:BQJ851986 BGN851984:BGN851986 AWR851984:AWR851986 AMV851984:AMV851986 ACZ851984:ACZ851986 TD851984:TD851986 JH851984:JH851986 L851984:L851986 WVT786448:WVT786450 WLX786448:WLX786450 WCB786448:WCB786450 VSF786448:VSF786450 VIJ786448:VIJ786450 UYN786448:UYN786450 UOR786448:UOR786450 UEV786448:UEV786450 TUZ786448:TUZ786450 TLD786448:TLD786450 TBH786448:TBH786450 SRL786448:SRL786450 SHP786448:SHP786450 RXT786448:RXT786450 RNX786448:RNX786450 REB786448:REB786450 QUF786448:QUF786450 QKJ786448:QKJ786450 QAN786448:QAN786450 PQR786448:PQR786450 PGV786448:PGV786450 OWZ786448:OWZ786450 OND786448:OND786450 ODH786448:ODH786450 NTL786448:NTL786450 NJP786448:NJP786450 MZT786448:MZT786450 MPX786448:MPX786450 MGB786448:MGB786450 LWF786448:LWF786450 LMJ786448:LMJ786450 LCN786448:LCN786450 KSR786448:KSR786450 KIV786448:KIV786450 JYZ786448:JYZ786450 JPD786448:JPD786450 JFH786448:JFH786450 IVL786448:IVL786450 ILP786448:ILP786450 IBT786448:IBT786450 HRX786448:HRX786450 HIB786448:HIB786450 GYF786448:GYF786450 GOJ786448:GOJ786450 GEN786448:GEN786450 FUR786448:FUR786450 FKV786448:FKV786450 FAZ786448:FAZ786450 ERD786448:ERD786450 EHH786448:EHH786450 DXL786448:DXL786450 DNP786448:DNP786450 DDT786448:DDT786450 CTX786448:CTX786450 CKB786448:CKB786450 CAF786448:CAF786450 BQJ786448:BQJ786450 BGN786448:BGN786450 AWR786448:AWR786450 AMV786448:AMV786450 ACZ786448:ACZ786450 TD786448:TD786450 JH786448:JH786450 L786448:L786450 WVT720912:WVT720914 WLX720912:WLX720914 WCB720912:WCB720914 VSF720912:VSF720914 VIJ720912:VIJ720914 UYN720912:UYN720914 UOR720912:UOR720914 UEV720912:UEV720914 TUZ720912:TUZ720914 TLD720912:TLD720914 TBH720912:TBH720914 SRL720912:SRL720914 SHP720912:SHP720914 RXT720912:RXT720914 RNX720912:RNX720914 REB720912:REB720914 QUF720912:QUF720914 QKJ720912:QKJ720914 QAN720912:QAN720914 PQR720912:PQR720914 PGV720912:PGV720914 OWZ720912:OWZ720914 OND720912:OND720914 ODH720912:ODH720914 NTL720912:NTL720914 NJP720912:NJP720914 MZT720912:MZT720914 MPX720912:MPX720914 MGB720912:MGB720914 LWF720912:LWF720914 LMJ720912:LMJ720914 LCN720912:LCN720914 KSR720912:KSR720914 KIV720912:KIV720914 JYZ720912:JYZ720914 JPD720912:JPD720914 JFH720912:JFH720914 IVL720912:IVL720914 ILP720912:ILP720914 IBT720912:IBT720914 HRX720912:HRX720914 HIB720912:HIB720914 GYF720912:GYF720914 GOJ720912:GOJ720914 GEN720912:GEN720914 FUR720912:FUR720914 FKV720912:FKV720914 FAZ720912:FAZ720914 ERD720912:ERD720914 EHH720912:EHH720914 DXL720912:DXL720914 DNP720912:DNP720914 DDT720912:DDT720914 CTX720912:CTX720914 CKB720912:CKB720914 CAF720912:CAF720914 BQJ720912:BQJ720914 BGN720912:BGN720914 AWR720912:AWR720914 AMV720912:AMV720914 ACZ720912:ACZ720914 TD720912:TD720914 JH720912:JH720914 L720912:L720914 WVT655376:WVT655378 WLX655376:WLX655378 WCB655376:WCB655378 VSF655376:VSF655378 VIJ655376:VIJ655378 UYN655376:UYN655378 UOR655376:UOR655378 UEV655376:UEV655378 TUZ655376:TUZ655378 TLD655376:TLD655378 TBH655376:TBH655378 SRL655376:SRL655378 SHP655376:SHP655378 RXT655376:RXT655378 RNX655376:RNX655378 REB655376:REB655378 QUF655376:QUF655378 QKJ655376:QKJ655378 QAN655376:QAN655378 PQR655376:PQR655378 PGV655376:PGV655378 OWZ655376:OWZ655378 OND655376:OND655378 ODH655376:ODH655378 NTL655376:NTL655378 NJP655376:NJP655378 MZT655376:MZT655378 MPX655376:MPX655378 MGB655376:MGB655378 LWF655376:LWF655378 LMJ655376:LMJ655378 LCN655376:LCN655378 KSR655376:KSR655378 KIV655376:KIV655378 JYZ655376:JYZ655378 JPD655376:JPD655378 JFH655376:JFH655378 IVL655376:IVL655378 ILP655376:ILP655378 IBT655376:IBT655378 HRX655376:HRX655378 HIB655376:HIB655378 GYF655376:GYF655378 GOJ655376:GOJ655378 GEN655376:GEN655378 FUR655376:FUR655378 FKV655376:FKV655378 FAZ655376:FAZ655378 ERD655376:ERD655378 EHH655376:EHH655378 DXL655376:DXL655378 DNP655376:DNP655378 DDT655376:DDT655378 CTX655376:CTX655378 CKB655376:CKB655378 CAF655376:CAF655378 BQJ655376:BQJ655378 BGN655376:BGN655378 AWR655376:AWR655378 AMV655376:AMV655378 ACZ655376:ACZ655378 TD655376:TD655378 JH655376:JH655378 L655376:L655378 WVT589840:WVT589842 WLX589840:WLX589842 WCB589840:WCB589842 VSF589840:VSF589842 VIJ589840:VIJ589842 UYN589840:UYN589842 UOR589840:UOR589842 UEV589840:UEV589842 TUZ589840:TUZ589842 TLD589840:TLD589842 TBH589840:TBH589842 SRL589840:SRL589842 SHP589840:SHP589842 RXT589840:RXT589842 RNX589840:RNX589842 REB589840:REB589842 QUF589840:QUF589842 QKJ589840:QKJ589842 QAN589840:QAN589842 PQR589840:PQR589842 PGV589840:PGV589842 OWZ589840:OWZ589842 OND589840:OND589842 ODH589840:ODH589842 NTL589840:NTL589842 NJP589840:NJP589842 MZT589840:MZT589842 MPX589840:MPX589842 MGB589840:MGB589842 LWF589840:LWF589842 LMJ589840:LMJ589842 LCN589840:LCN589842 KSR589840:KSR589842 KIV589840:KIV589842 JYZ589840:JYZ589842 JPD589840:JPD589842 JFH589840:JFH589842 IVL589840:IVL589842 ILP589840:ILP589842 IBT589840:IBT589842 HRX589840:HRX589842 HIB589840:HIB589842 GYF589840:GYF589842 GOJ589840:GOJ589842 GEN589840:GEN589842 FUR589840:FUR589842 FKV589840:FKV589842 FAZ589840:FAZ589842 ERD589840:ERD589842 EHH589840:EHH589842 DXL589840:DXL589842 DNP589840:DNP589842 DDT589840:DDT589842 CTX589840:CTX589842 CKB589840:CKB589842 CAF589840:CAF589842 BQJ589840:BQJ589842 BGN589840:BGN589842 AWR589840:AWR589842 AMV589840:AMV589842 ACZ589840:ACZ589842 TD589840:TD589842 JH589840:JH589842 L589840:L589842 WVT524304:WVT524306 WLX524304:WLX524306 WCB524304:WCB524306 VSF524304:VSF524306 VIJ524304:VIJ524306 UYN524304:UYN524306 UOR524304:UOR524306 UEV524304:UEV524306 TUZ524304:TUZ524306 TLD524304:TLD524306 TBH524304:TBH524306 SRL524304:SRL524306 SHP524304:SHP524306 RXT524304:RXT524306 RNX524304:RNX524306 REB524304:REB524306 QUF524304:QUF524306 QKJ524304:QKJ524306 QAN524304:QAN524306 PQR524304:PQR524306 PGV524304:PGV524306 OWZ524304:OWZ524306 OND524304:OND524306 ODH524304:ODH524306 NTL524304:NTL524306 NJP524304:NJP524306 MZT524304:MZT524306 MPX524304:MPX524306 MGB524304:MGB524306 LWF524304:LWF524306 LMJ524304:LMJ524306 LCN524304:LCN524306 KSR524304:KSR524306 KIV524304:KIV524306 JYZ524304:JYZ524306 JPD524304:JPD524306 JFH524304:JFH524306 IVL524304:IVL524306 ILP524304:ILP524306 IBT524304:IBT524306 HRX524304:HRX524306 HIB524304:HIB524306 GYF524304:GYF524306 GOJ524304:GOJ524306 GEN524304:GEN524306 FUR524304:FUR524306 FKV524304:FKV524306 FAZ524304:FAZ524306 ERD524304:ERD524306 EHH524304:EHH524306 DXL524304:DXL524306 DNP524304:DNP524306 DDT524304:DDT524306 CTX524304:CTX524306 CKB524304:CKB524306 CAF524304:CAF524306 BQJ524304:BQJ524306 BGN524304:BGN524306 AWR524304:AWR524306 AMV524304:AMV524306 ACZ524304:ACZ524306 TD524304:TD524306 JH524304:JH524306 L524304:L524306 WVT458768:WVT458770 WLX458768:WLX458770 WCB458768:WCB458770 VSF458768:VSF458770 VIJ458768:VIJ458770 UYN458768:UYN458770 UOR458768:UOR458770 UEV458768:UEV458770 TUZ458768:TUZ458770 TLD458768:TLD458770 TBH458768:TBH458770 SRL458768:SRL458770 SHP458768:SHP458770 RXT458768:RXT458770 RNX458768:RNX458770 REB458768:REB458770 QUF458768:QUF458770 QKJ458768:QKJ458770 QAN458768:QAN458770 PQR458768:PQR458770 PGV458768:PGV458770 OWZ458768:OWZ458770 OND458768:OND458770 ODH458768:ODH458770 NTL458768:NTL458770 NJP458768:NJP458770 MZT458768:MZT458770 MPX458768:MPX458770 MGB458768:MGB458770 LWF458768:LWF458770 LMJ458768:LMJ458770 LCN458768:LCN458770 KSR458768:KSR458770 KIV458768:KIV458770 JYZ458768:JYZ458770 JPD458768:JPD458770 JFH458768:JFH458770 IVL458768:IVL458770 ILP458768:ILP458770 IBT458768:IBT458770 HRX458768:HRX458770 HIB458768:HIB458770 GYF458768:GYF458770 GOJ458768:GOJ458770 GEN458768:GEN458770 FUR458768:FUR458770 FKV458768:FKV458770 FAZ458768:FAZ458770 ERD458768:ERD458770 EHH458768:EHH458770 DXL458768:DXL458770 DNP458768:DNP458770 DDT458768:DDT458770 CTX458768:CTX458770 CKB458768:CKB458770 CAF458768:CAF458770 BQJ458768:BQJ458770 BGN458768:BGN458770 AWR458768:AWR458770 AMV458768:AMV458770 ACZ458768:ACZ458770 TD458768:TD458770 JH458768:JH458770 L458768:L458770 WVT393232:WVT393234 WLX393232:WLX393234 WCB393232:WCB393234 VSF393232:VSF393234 VIJ393232:VIJ393234 UYN393232:UYN393234 UOR393232:UOR393234 UEV393232:UEV393234 TUZ393232:TUZ393234 TLD393232:TLD393234 TBH393232:TBH393234 SRL393232:SRL393234 SHP393232:SHP393234 RXT393232:RXT393234 RNX393232:RNX393234 REB393232:REB393234 QUF393232:QUF393234 QKJ393232:QKJ393234 QAN393232:QAN393234 PQR393232:PQR393234 PGV393232:PGV393234 OWZ393232:OWZ393234 OND393232:OND393234 ODH393232:ODH393234 NTL393232:NTL393234 NJP393232:NJP393234 MZT393232:MZT393234 MPX393232:MPX393234 MGB393232:MGB393234 LWF393232:LWF393234 LMJ393232:LMJ393234 LCN393232:LCN393234 KSR393232:KSR393234 KIV393232:KIV393234 JYZ393232:JYZ393234 JPD393232:JPD393234 JFH393232:JFH393234 IVL393232:IVL393234 ILP393232:ILP393234 IBT393232:IBT393234 HRX393232:HRX393234 HIB393232:HIB393234 GYF393232:GYF393234 GOJ393232:GOJ393234 GEN393232:GEN393234 FUR393232:FUR393234 FKV393232:FKV393234 FAZ393232:FAZ393234 ERD393232:ERD393234 EHH393232:EHH393234 DXL393232:DXL393234 DNP393232:DNP393234 DDT393232:DDT393234 CTX393232:CTX393234 CKB393232:CKB393234 CAF393232:CAF393234 BQJ393232:BQJ393234 BGN393232:BGN393234 AWR393232:AWR393234 AMV393232:AMV393234 ACZ393232:ACZ393234 TD393232:TD393234 JH393232:JH393234 L393232:L393234 WVT327696:WVT327698 WLX327696:WLX327698 WCB327696:WCB327698 VSF327696:VSF327698 VIJ327696:VIJ327698 UYN327696:UYN327698 UOR327696:UOR327698 UEV327696:UEV327698 TUZ327696:TUZ327698 TLD327696:TLD327698 TBH327696:TBH327698 SRL327696:SRL327698 SHP327696:SHP327698 RXT327696:RXT327698 RNX327696:RNX327698 REB327696:REB327698 QUF327696:QUF327698 QKJ327696:QKJ327698 QAN327696:QAN327698 PQR327696:PQR327698 PGV327696:PGV327698 OWZ327696:OWZ327698 OND327696:OND327698 ODH327696:ODH327698 NTL327696:NTL327698 NJP327696:NJP327698 MZT327696:MZT327698 MPX327696:MPX327698 MGB327696:MGB327698 LWF327696:LWF327698 LMJ327696:LMJ327698 LCN327696:LCN327698 KSR327696:KSR327698 KIV327696:KIV327698 JYZ327696:JYZ327698 JPD327696:JPD327698 JFH327696:JFH327698 IVL327696:IVL327698 ILP327696:ILP327698 IBT327696:IBT327698 HRX327696:HRX327698 HIB327696:HIB327698 GYF327696:GYF327698 GOJ327696:GOJ327698 GEN327696:GEN327698 FUR327696:FUR327698 FKV327696:FKV327698 FAZ327696:FAZ327698 ERD327696:ERD327698 EHH327696:EHH327698 DXL327696:DXL327698 DNP327696:DNP327698 DDT327696:DDT327698 CTX327696:CTX327698 CKB327696:CKB327698 CAF327696:CAF327698 BQJ327696:BQJ327698 BGN327696:BGN327698 AWR327696:AWR327698 AMV327696:AMV327698 ACZ327696:ACZ327698 TD327696:TD327698 JH327696:JH327698 L327696:L327698 WVT262160:WVT262162 WLX262160:WLX262162 WCB262160:WCB262162 VSF262160:VSF262162 VIJ262160:VIJ262162 UYN262160:UYN262162 UOR262160:UOR262162 UEV262160:UEV262162 TUZ262160:TUZ262162 TLD262160:TLD262162 TBH262160:TBH262162 SRL262160:SRL262162 SHP262160:SHP262162 RXT262160:RXT262162 RNX262160:RNX262162 REB262160:REB262162 QUF262160:QUF262162 QKJ262160:QKJ262162 QAN262160:QAN262162 PQR262160:PQR262162 PGV262160:PGV262162 OWZ262160:OWZ262162 OND262160:OND262162 ODH262160:ODH262162 NTL262160:NTL262162 NJP262160:NJP262162 MZT262160:MZT262162 MPX262160:MPX262162 MGB262160:MGB262162 LWF262160:LWF262162 LMJ262160:LMJ262162 LCN262160:LCN262162 KSR262160:KSR262162 KIV262160:KIV262162 JYZ262160:JYZ262162 JPD262160:JPD262162 JFH262160:JFH262162 IVL262160:IVL262162 ILP262160:ILP262162 IBT262160:IBT262162 HRX262160:HRX262162 HIB262160:HIB262162 GYF262160:GYF262162 GOJ262160:GOJ262162 GEN262160:GEN262162 FUR262160:FUR262162 FKV262160:FKV262162 FAZ262160:FAZ262162 ERD262160:ERD262162 EHH262160:EHH262162 DXL262160:DXL262162 DNP262160:DNP262162 DDT262160:DDT262162 CTX262160:CTX262162 CKB262160:CKB262162 CAF262160:CAF262162 BQJ262160:BQJ262162 BGN262160:BGN262162 AWR262160:AWR262162 AMV262160:AMV262162 ACZ262160:ACZ262162 TD262160:TD262162 JH262160:JH262162 L262160:L262162 WVT196624:WVT196626 WLX196624:WLX196626 WCB196624:WCB196626 VSF196624:VSF196626 VIJ196624:VIJ196626 UYN196624:UYN196626 UOR196624:UOR196626 UEV196624:UEV196626 TUZ196624:TUZ196626 TLD196624:TLD196626 TBH196624:TBH196626 SRL196624:SRL196626 SHP196624:SHP196626 RXT196624:RXT196626 RNX196624:RNX196626 REB196624:REB196626 QUF196624:QUF196626 QKJ196624:QKJ196626 QAN196624:QAN196626 PQR196624:PQR196626 PGV196624:PGV196626 OWZ196624:OWZ196626 OND196624:OND196626 ODH196624:ODH196626 NTL196624:NTL196626 NJP196624:NJP196626 MZT196624:MZT196626 MPX196624:MPX196626 MGB196624:MGB196626 LWF196624:LWF196626 LMJ196624:LMJ196626 LCN196624:LCN196626 KSR196624:KSR196626 KIV196624:KIV196626 JYZ196624:JYZ196626 JPD196624:JPD196626 JFH196624:JFH196626 IVL196624:IVL196626 ILP196624:ILP196626 IBT196624:IBT196626 HRX196624:HRX196626 HIB196624:HIB196626 GYF196624:GYF196626 GOJ196624:GOJ196626 GEN196624:GEN196626 FUR196624:FUR196626 FKV196624:FKV196626 FAZ196624:FAZ196626 ERD196624:ERD196626 EHH196624:EHH196626 DXL196624:DXL196626 DNP196624:DNP196626 DDT196624:DDT196626 CTX196624:CTX196626 CKB196624:CKB196626 CAF196624:CAF196626 BQJ196624:BQJ196626 BGN196624:BGN196626 AWR196624:AWR196626 AMV196624:AMV196626 ACZ196624:ACZ196626 TD196624:TD196626 JH196624:JH196626 L196624:L196626 WVT131088:WVT131090 WLX131088:WLX131090 WCB131088:WCB131090 VSF131088:VSF131090 VIJ131088:VIJ131090 UYN131088:UYN131090 UOR131088:UOR131090 UEV131088:UEV131090 TUZ131088:TUZ131090 TLD131088:TLD131090 TBH131088:TBH131090 SRL131088:SRL131090 SHP131088:SHP131090 RXT131088:RXT131090 RNX131088:RNX131090 REB131088:REB131090 QUF131088:QUF131090 QKJ131088:QKJ131090 QAN131088:QAN131090 PQR131088:PQR131090 PGV131088:PGV131090 OWZ131088:OWZ131090 OND131088:OND131090 ODH131088:ODH131090 NTL131088:NTL131090 NJP131088:NJP131090 MZT131088:MZT131090 MPX131088:MPX131090 MGB131088:MGB131090 LWF131088:LWF131090 LMJ131088:LMJ131090 LCN131088:LCN131090 KSR131088:KSR131090 KIV131088:KIV131090 JYZ131088:JYZ131090 JPD131088:JPD131090 JFH131088:JFH131090 IVL131088:IVL131090 ILP131088:ILP131090 IBT131088:IBT131090 HRX131088:HRX131090 HIB131088:HIB131090 GYF131088:GYF131090 GOJ131088:GOJ131090 GEN131088:GEN131090 FUR131088:FUR131090 FKV131088:FKV131090 FAZ131088:FAZ131090 ERD131088:ERD131090 EHH131088:EHH131090 DXL131088:DXL131090 DNP131088:DNP131090 DDT131088:DDT131090 CTX131088:CTX131090 CKB131088:CKB131090 CAF131088:CAF131090 BQJ131088:BQJ131090 BGN131088:BGN131090 AWR131088:AWR131090 AMV131088:AMV131090 ACZ131088:ACZ131090 TD131088:TD131090 JH131088:JH131090 L131088:L131090 WVT65552:WVT65554 WLX65552:WLX65554 WCB65552:WCB65554 VSF65552:VSF65554 VIJ65552:VIJ65554 UYN65552:UYN65554 UOR65552:UOR65554 UEV65552:UEV65554 TUZ65552:TUZ65554 TLD65552:TLD65554 TBH65552:TBH65554 SRL65552:SRL65554 SHP65552:SHP65554 RXT65552:RXT65554 RNX65552:RNX65554 REB65552:REB65554 QUF65552:QUF65554 QKJ65552:QKJ65554 QAN65552:QAN65554 PQR65552:PQR65554 PGV65552:PGV65554 OWZ65552:OWZ65554 OND65552:OND65554 ODH65552:ODH65554 NTL65552:NTL65554 NJP65552:NJP65554 MZT65552:MZT65554 MPX65552:MPX65554 MGB65552:MGB65554 LWF65552:LWF65554 LMJ65552:LMJ65554 LCN65552:LCN65554 KSR65552:KSR65554 KIV65552:KIV65554 JYZ65552:JYZ65554 JPD65552:JPD65554 JFH65552:JFH65554 IVL65552:IVL65554 ILP65552:ILP65554 IBT65552:IBT65554 HRX65552:HRX65554 HIB65552:HIB65554 GYF65552:GYF65554 GOJ65552:GOJ65554 GEN65552:GEN65554 FUR65552:FUR65554 FKV65552:FKV65554 FAZ65552:FAZ65554 ERD65552:ERD65554 EHH65552:EHH65554 DXL65552:DXL65554 DNP65552:DNP65554 DDT65552:DDT65554 CTX65552:CTX65554 CKB65552:CKB65554 CAF65552:CAF65554 BQJ65552:BQJ65554 BGN65552:BGN65554 AWR65552:AWR65554 AMV65552:AMV65554 ACZ65552:ACZ65554 TD65552:TD65554 L31:L32">
      <formula1>$N$17:$N$20</formula1>
    </dataValidation>
    <dataValidation type="list" allowBlank="1" showInputMessage="1" showErrorMessage="1" sqref="N65552:N65554 JJ65552:JJ65554 JJ30:JJ32 TF30:TF32 ADB30:ADB32 AMX30:AMX32 AWT30:AWT32 BGP30:BGP32 BQL30:BQL32 CAH30:CAH32 CKD30:CKD32 CTZ30:CTZ32 DDV30:DDV32 DNR30:DNR32 DXN30:DXN32 EHJ30:EHJ32 ERF30:ERF32 FBB30:FBB32 FKX30:FKX32 FUT30:FUT32 GEP30:GEP32 GOL30:GOL32 GYH30:GYH32 HID30:HID32 HRZ30:HRZ32 IBV30:IBV32 ILR30:ILR32 IVN30:IVN32 JFJ30:JFJ32 JPF30:JPF32 JZB30:JZB32 KIX30:KIX32 KST30:KST32 LCP30:LCP32 LML30:LML32 LWH30:LWH32 MGD30:MGD32 MPZ30:MPZ32 MZV30:MZV32 NJR30:NJR32 NTN30:NTN32 ODJ30:ODJ32 ONF30:ONF32 OXB30:OXB32 PGX30:PGX32 PQT30:PQT32 QAP30:QAP32 QKL30:QKL32 QUH30:QUH32 RED30:RED32 RNZ30:RNZ32 RXV30:RXV32 SHR30:SHR32 SRN30:SRN32 TBJ30:TBJ32 TLF30:TLF32 TVB30:TVB32 UEX30:UEX32 UOT30:UOT32 UYP30:UYP32 VIL30:VIL32 VSH30:VSH32 WCD30:WCD32 WLZ30:WLZ32 WVV30:WVV32 WVV983056:WVV983058 WLZ983056:WLZ983058 WCD983056:WCD983058 VSH983056:VSH983058 VIL983056:VIL983058 UYP983056:UYP983058 UOT983056:UOT983058 UEX983056:UEX983058 TVB983056:TVB983058 TLF983056:TLF983058 TBJ983056:TBJ983058 SRN983056:SRN983058 SHR983056:SHR983058 RXV983056:RXV983058 RNZ983056:RNZ983058 RED983056:RED983058 QUH983056:QUH983058 QKL983056:QKL983058 QAP983056:QAP983058 PQT983056:PQT983058 PGX983056:PGX983058 OXB983056:OXB983058 ONF983056:ONF983058 ODJ983056:ODJ983058 NTN983056:NTN983058 NJR983056:NJR983058 MZV983056:MZV983058 MPZ983056:MPZ983058 MGD983056:MGD983058 LWH983056:LWH983058 LML983056:LML983058 LCP983056:LCP983058 KST983056:KST983058 KIX983056:KIX983058 JZB983056:JZB983058 JPF983056:JPF983058 JFJ983056:JFJ983058 IVN983056:IVN983058 ILR983056:ILR983058 IBV983056:IBV983058 HRZ983056:HRZ983058 HID983056:HID983058 GYH983056:GYH983058 GOL983056:GOL983058 GEP983056:GEP983058 FUT983056:FUT983058 FKX983056:FKX983058 FBB983056:FBB983058 ERF983056:ERF983058 EHJ983056:EHJ983058 DXN983056:DXN983058 DNR983056:DNR983058 DDV983056:DDV983058 CTZ983056:CTZ983058 CKD983056:CKD983058 CAH983056:CAH983058 BQL983056:BQL983058 BGP983056:BGP983058 AWT983056:AWT983058 AMX983056:AMX983058 ADB983056:ADB983058 TF983056:TF983058 JJ983056:JJ983058 N983056:N983058 WVV917520:WVV917522 WLZ917520:WLZ917522 WCD917520:WCD917522 VSH917520:VSH917522 VIL917520:VIL917522 UYP917520:UYP917522 UOT917520:UOT917522 UEX917520:UEX917522 TVB917520:TVB917522 TLF917520:TLF917522 TBJ917520:TBJ917522 SRN917520:SRN917522 SHR917520:SHR917522 RXV917520:RXV917522 RNZ917520:RNZ917522 RED917520:RED917522 QUH917520:QUH917522 QKL917520:QKL917522 QAP917520:QAP917522 PQT917520:PQT917522 PGX917520:PGX917522 OXB917520:OXB917522 ONF917520:ONF917522 ODJ917520:ODJ917522 NTN917520:NTN917522 NJR917520:NJR917522 MZV917520:MZV917522 MPZ917520:MPZ917522 MGD917520:MGD917522 LWH917520:LWH917522 LML917520:LML917522 LCP917520:LCP917522 KST917520:KST917522 KIX917520:KIX917522 JZB917520:JZB917522 JPF917520:JPF917522 JFJ917520:JFJ917522 IVN917520:IVN917522 ILR917520:ILR917522 IBV917520:IBV917522 HRZ917520:HRZ917522 HID917520:HID917522 GYH917520:GYH917522 GOL917520:GOL917522 GEP917520:GEP917522 FUT917520:FUT917522 FKX917520:FKX917522 FBB917520:FBB917522 ERF917520:ERF917522 EHJ917520:EHJ917522 DXN917520:DXN917522 DNR917520:DNR917522 DDV917520:DDV917522 CTZ917520:CTZ917522 CKD917520:CKD917522 CAH917520:CAH917522 BQL917520:BQL917522 BGP917520:BGP917522 AWT917520:AWT917522 AMX917520:AMX917522 ADB917520:ADB917522 TF917520:TF917522 JJ917520:JJ917522 N917520:N917522 WVV851984:WVV851986 WLZ851984:WLZ851986 WCD851984:WCD851986 VSH851984:VSH851986 VIL851984:VIL851986 UYP851984:UYP851986 UOT851984:UOT851986 UEX851984:UEX851986 TVB851984:TVB851986 TLF851984:TLF851986 TBJ851984:TBJ851986 SRN851984:SRN851986 SHR851984:SHR851986 RXV851984:RXV851986 RNZ851984:RNZ851986 RED851984:RED851986 QUH851984:QUH851986 QKL851984:QKL851986 QAP851984:QAP851986 PQT851984:PQT851986 PGX851984:PGX851986 OXB851984:OXB851986 ONF851984:ONF851986 ODJ851984:ODJ851986 NTN851984:NTN851986 NJR851984:NJR851986 MZV851984:MZV851986 MPZ851984:MPZ851986 MGD851984:MGD851986 LWH851984:LWH851986 LML851984:LML851986 LCP851984:LCP851986 KST851984:KST851986 KIX851984:KIX851986 JZB851984:JZB851986 JPF851984:JPF851986 JFJ851984:JFJ851986 IVN851984:IVN851986 ILR851984:ILR851986 IBV851984:IBV851986 HRZ851984:HRZ851986 HID851984:HID851986 GYH851984:GYH851986 GOL851984:GOL851986 GEP851984:GEP851986 FUT851984:FUT851986 FKX851984:FKX851986 FBB851984:FBB851986 ERF851984:ERF851986 EHJ851984:EHJ851986 DXN851984:DXN851986 DNR851984:DNR851986 DDV851984:DDV851986 CTZ851984:CTZ851986 CKD851984:CKD851986 CAH851984:CAH851986 BQL851984:BQL851986 BGP851984:BGP851986 AWT851984:AWT851986 AMX851984:AMX851986 ADB851984:ADB851986 TF851984:TF851986 JJ851984:JJ851986 N851984:N851986 WVV786448:WVV786450 WLZ786448:WLZ786450 WCD786448:WCD786450 VSH786448:VSH786450 VIL786448:VIL786450 UYP786448:UYP786450 UOT786448:UOT786450 UEX786448:UEX786450 TVB786448:TVB786450 TLF786448:TLF786450 TBJ786448:TBJ786450 SRN786448:SRN786450 SHR786448:SHR786450 RXV786448:RXV786450 RNZ786448:RNZ786450 RED786448:RED786450 QUH786448:QUH786450 QKL786448:QKL786450 QAP786448:QAP786450 PQT786448:PQT786450 PGX786448:PGX786450 OXB786448:OXB786450 ONF786448:ONF786450 ODJ786448:ODJ786450 NTN786448:NTN786450 NJR786448:NJR786450 MZV786448:MZV786450 MPZ786448:MPZ786450 MGD786448:MGD786450 LWH786448:LWH786450 LML786448:LML786450 LCP786448:LCP786450 KST786448:KST786450 KIX786448:KIX786450 JZB786448:JZB786450 JPF786448:JPF786450 JFJ786448:JFJ786450 IVN786448:IVN786450 ILR786448:ILR786450 IBV786448:IBV786450 HRZ786448:HRZ786450 HID786448:HID786450 GYH786448:GYH786450 GOL786448:GOL786450 GEP786448:GEP786450 FUT786448:FUT786450 FKX786448:FKX786450 FBB786448:FBB786450 ERF786448:ERF786450 EHJ786448:EHJ786450 DXN786448:DXN786450 DNR786448:DNR786450 DDV786448:DDV786450 CTZ786448:CTZ786450 CKD786448:CKD786450 CAH786448:CAH786450 BQL786448:BQL786450 BGP786448:BGP786450 AWT786448:AWT786450 AMX786448:AMX786450 ADB786448:ADB786450 TF786448:TF786450 JJ786448:JJ786450 N786448:N786450 WVV720912:WVV720914 WLZ720912:WLZ720914 WCD720912:WCD720914 VSH720912:VSH720914 VIL720912:VIL720914 UYP720912:UYP720914 UOT720912:UOT720914 UEX720912:UEX720914 TVB720912:TVB720914 TLF720912:TLF720914 TBJ720912:TBJ720914 SRN720912:SRN720914 SHR720912:SHR720914 RXV720912:RXV720914 RNZ720912:RNZ720914 RED720912:RED720914 QUH720912:QUH720914 QKL720912:QKL720914 QAP720912:QAP720914 PQT720912:PQT720914 PGX720912:PGX720914 OXB720912:OXB720914 ONF720912:ONF720914 ODJ720912:ODJ720914 NTN720912:NTN720914 NJR720912:NJR720914 MZV720912:MZV720914 MPZ720912:MPZ720914 MGD720912:MGD720914 LWH720912:LWH720914 LML720912:LML720914 LCP720912:LCP720914 KST720912:KST720914 KIX720912:KIX720914 JZB720912:JZB720914 JPF720912:JPF720914 JFJ720912:JFJ720914 IVN720912:IVN720914 ILR720912:ILR720914 IBV720912:IBV720914 HRZ720912:HRZ720914 HID720912:HID720914 GYH720912:GYH720914 GOL720912:GOL720914 GEP720912:GEP720914 FUT720912:FUT720914 FKX720912:FKX720914 FBB720912:FBB720914 ERF720912:ERF720914 EHJ720912:EHJ720914 DXN720912:DXN720914 DNR720912:DNR720914 DDV720912:DDV720914 CTZ720912:CTZ720914 CKD720912:CKD720914 CAH720912:CAH720914 BQL720912:BQL720914 BGP720912:BGP720914 AWT720912:AWT720914 AMX720912:AMX720914 ADB720912:ADB720914 TF720912:TF720914 JJ720912:JJ720914 N720912:N720914 WVV655376:WVV655378 WLZ655376:WLZ655378 WCD655376:WCD655378 VSH655376:VSH655378 VIL655376:VIL655378 UYP655376:UYP655378 UOT655376:UOT655378 UEX655376:UEX655378 TVB655376:TVB655378 TLF655376:TLF655378 TBJ655376:TBJ655378 SRN655376:SRN655378 SHR655376:SHR655378 RXV655376:RXV655378 RNZ655376:RNZ655378 RED655376:RED655378 QUH655376:QUH655378 QKL655376:QKL655378 QAP655376:QAP655378 PQT655376:PQT655378 PGX655376:PGX655378 OXB655376:OXB655378 ONF655376:ONF655378 ODJ655376:ODJ655378 NTN655376:NTN655378 NJR655376:NJR655378 MZV655376:MZV655378 MPZ655376:MPZ655378 MGD655376:MGD655378 LWH655376:LWH655378 LML655376:LML655378 LCP655376:LCP655378 KST655376:KST655378 KIX655376:KIX655378 JZB655376:JZB655378 JPF655376:JPF655378 JFJ655376:JFJ655378 IVN655376:IVN655378 ILR655376:ILR655378 IBV655376:IBV655378 HRZ655376:HRZ655378 HID655376:HID655378 GYH655376:GYH655378 GOL655376:GOL655378 GEP655376:GEP655378 FUT655376:FUT655378 FKX655376:FKX655378 FBB655376:FBB655378 ERF655376:ERF655378 EHJ655376:EHJ655378 DXN655376:DXN655378 DNR655376:DNR655378 DDV655376:DDV655378 CTZ655376:CTZ655378 CKD655376:CKD655378 CAH655376:CAH655378 BQL655376:BQL655378 BGP655376:BGP655378 AWT655376:AWT655378 AMX655376:AMX655378 ADB655376:ADB655378 TF655376:TF655378 JJ655376:JJ655378 N655376:N655378 WVV589840:WVV589842 WLZ589840:WLZ589842 WCD589840:WCD589842 VSH589840:VSH589842 VIL589840:VIL589842 UYP589840:UYP589842 UOT589840:UOT589842 UEX589840:UEX589842 TVB589840:TVB589842 TLF589840:TLF589842 TBJ589840:TBJ589842 SRN589840:SRN589842 SHR589840:SHR589842 RXV589840:RXV589842 RNZ589840:RNZ589842 RED589840:RED589842 QUH589840:QUH589842 QKL589840:QKL589842 QAP589840:QAP589842 PQT589840:PQT589842 PGX589840:PGX589842 OXB589840:OXB589842 ONF589840:ONF589842 ODJ589840:ODJ589842 NTN589840:NTN589842 NJR589840:NJR589842 MZV589840:MZV589842 MPZ589840:MPZ589842 MGD589840:MGD589842 LWH589840:LWH589842 LML589840:LML589842 LCP589840:LCP589842 KST589840:KST589842 KIX589840:KIX589842 JZB589840:JZB589842 JPF589840:JPF589842 JFJ589840:JFJ589842 IVN589840:IVN589842 ILR589840:ILR589842 IBV589840:IBV589842 HRZ589840:HRZ589842 HID589840:HID589842 GYH589840:GYH589842 GOL589840:GOL589842 GEP589840:GEP589842 FUT589840:FUT589842 FKX589840:FKX589842 FBB589840:FBB589842 ERF589840:ERF589842 EHJ589840:EHJ589842 DXN589840:DXN589842 DNR589840:DNR589842 DDV589840:DDV589842 CTZ589840:CTZ589842 CKD589840:CKD589842 CAH589840:CAH589842 BQL589840:BQL589842 BGP589840:BGP589842 AWT589840:AWT589842 AMX589840:AMX589842 ADB589840:ADB589842 TF589840:TF589842 JJ589840:JJ589842 N589840:N589842 WVV524304:WVV524306 WLZ524304:WLZ524306 WCD524304:WCD524306 VSH524304:VSH524306 VIL524304:VIL524306 UYP524304:UYP524306 UOT524304:UOT524306 UEX524304:UEX524306 TVB524304:TVB524306 TLF524304:TLF524306 TBJ524304:TBJ524306 SRN524304:SRN524306 SHR524304:SHR524306 RXV524304:RXV524306 RNZ524304:RNZ524306 RED524304:RED524306 QUH524304:QUH524306 QKL524304:QKL524306 QAP524304:QAP524306 PQT524304:PQT524306 PGX524304:PGX524306 OXB524304:OXB524306 ONF524304:ONF524306 ODJ524304:ODJ524306 NTN524304:NTN524306 NJR524304:NJR524306 MZV524304:MZV524306 MPZ524304:MPZ524306 MGD524304:MGD524306 LWH524304:LWH524306 LML524304:LML524306 LCP524304:LCP524306 KST524304:KST524306 KIX524304:KIX524306 JZB524304:JZB524306 JPF524304:JPF524306 JFJ524304:JFJ524306 IVN524304:IVN524306 ILR524304:ILR524306 IBV524304:IBV524306 HRZ524304:HRZ524306 HID524304:HID524306 GYH524304:GYH524306 GOL524304:GOL524306 GEP524304:GEP524306 FUT524304:FUT524306 FKX524304:FKX524306 FBB524304:FBB524306 ERF524304:ERF524306 EHJ524304:EHJ524306 DXN524304:DXN524306 DNR524304:DNR524306 DDV524304:DDV524306 CTZ524304:CTZ524306 CKD524304:CKD524306 CAH524304:CAH524306 BQL524304:BQL524306 BGP524304:BGP524306 AWT524304:AWT524306 AMX524304:AMX524306 ADB524304:ADB524306 TF524304:TF524306 JJ524304:JJ524306 N524304:N524306 WVV458768:WVV458770 WLZ458768:WLZ458770 WCD458768:WCD458770 VSH458768:VSH458770 VIL458768:VIL458770 UYP458768:UYP458770 UOT458768:UOT458770 UEX458768:UEX458770 TVB458768:TVB458770 TLF458768:TLF458770 TBJ458768:TBJ458770 SRN458768:SRN458770 SHR458768:SHR458770 RXV458768:RXV458770 RNZ458768:RNZ458770 RED458768:RED458770 QUH458768:QUH458770 QKL458768:QKL458770 QAP458768:QAP458770 PQT458768:PQT458770 PGX458768:PGX458770 OXB458768:OXB458770 ONF458768:ONF458770 ODJ458768:ODJ458770 NTN458768:NTN458770 NJR458768:NJR458770 MZV458768:MZV458770 MPZ458768:MPZ458770 MGD458768:MGD458770 LWH458768:LWH458770 LML458768:LML458770 LCP458768:LCP458770 KST458768:KST458770 KIX458768:KIX458770 JZB458768:JZB458770 JPF458768:JPF458770 JFJ458768:JFJ458770 IVN458768:IVN458770 ILR458768:ILR458770 IBV458768:IBV458770 HRZ458768:HRZ458770 HID458768:HID458770 GYH458768:GYH458770 GOL458768:GOL458770 GEP458768:GEP458770 FUT458768:FUT458770 FKX458768:FKX458770 FBB458768:FBB458770 ERF458768:ERF458770 EHJ458768:EHJ458770 DXN458768:DXN458770 DNR458768:DNR458770 DDV458768:DDV458770 CTZ458768:CTZ458770 CKD458768:CKD458770 CAH458768:CAH458770 BQL458768:BQL458770 BGP458768:BGP458770 AWT458768:AWT458770 AMX458768:AMX458770 ADB458768:ADB458770 TF458768:TF458770 JJ458768:JJ458770 N458768:N458770 WVV393232:WVV393234 WLZ393232:WLZ393234 WCD393232:WCD393234 VSH393232:VSH393234 VIL393232:VIL393234 UYP393232:UYP393234 UOT393232:UOT393234 UEX393232:UEX393234 TVB393232:TVB393234 TLF393232:TLF393234 TBJ393232:TBJ393234 SRN393232:SRN393234 SHR393232:SHR393234 RXV393232:RXV393234 RNZ393232:RNZ393234 RED393232:RED393234 QUH393232:QUH393234 QKL393232:QKL393234 QAP393232:QAP393234 PQT393232:PQT393234 PGX393232:PGX393234 OXB393232:OXB393234 ONF393232:ONF393234 ODJ393232:ODJ393234 NTN393232:NTN393234 NJR393232:NJR393234 MZV393232:MZV393234 MPZ393232:MPZ393234 MGD393232:MGD393234 LWH393232:LWH393234 LML393232:LML393234 LCP393232:LCP393234 KST393232:KST393234 KIX393232:KIX393234 JZB393232:JZB393234 JPF393232:JPF393234 JFJ393232:JFJ393234 IVN393232:IVN393234 ILR393232:ILR393234 IBV393232:IBV393234 HRZ393232:HRZ393234 HID393232:HID393234 GYH393232:GYH393234 GOL393232:GOL393234 GEP393232:GEP393234 FUT393232:FUT393234 FKX393232:FKX393234 FBB393232:FBB393234 ERF393232:ERF393234 EHJ393232:EHJ393234 DXN393232:DXN393234 DNR393232:DNR393234 DDV393232:DDV393234 CTZ393232:CTZ393234 CKD393232:CKD393234 CAH393232:CAH393234 BQL393232:BQL393234 BGP393232:BGP393234 AWT393232:AWT393234 AMX393232:AMX393234 ADB393232:ADB393234 TF393232:TF393234 JJ393232:JJ393234 N393232:N393234 WVV327696:WVV327698 WLZ327696:WLZ327698 WCD327696:WCD327698 VSH327696:VSH327698 VIL327696:VIL327698 UYP327696:UYP327698 UOT327696:UOT327698 UEX327696:UEX327698 TVB327696:TVB327698 TLF327696:TLF327698 TBJ327696:TBJ327698 SRN327696:SRN327698 SHR327696:SHR327698 RXV327696:RXV327698 RNZ327696:RNZ327698 RED327696:RED327698 QUH327696:QUH327698 QKL327696:QKL327698 QAP327696:QAP327698 PQT327696:PQT327698 PGX327696:PGX327698 OXB327696:OXB327698 ONF327696:ONF327698 ODJ327696:ODJ327698 NTN327696:NTN327698 NJR327696:NJR327698 MZV327696:MZV327698 MPZ327696:MPZ327698 MGD327696:MGD327698 LWH327696:LWH327698 LML327696:LML327698 LCP327696:LCP327698 KST327696:KST327698 KIX327696:KIX327698 JZB327696:JZB327698 JPF327696:JPF327698 JFJ327696:JFJ327698 IVN327696:IVN327698 ILR327696:ILR327698 IBV327696:IBV327698 HRZ327696:HRZ327698 HID327696:HID327698 GYH327696:GYH327698 GOL327696:GOL327698 GEP327696:GEP327698 FUT327696:FUT327698 FKX327696:FKX327698 FBB327696:FBB327698 ERF327696:ERF327698 EHJ327696:EHJ327698 DXN327696:DXN327698 DNR327696:DNR327698 DDV327696:DDV327698 CTZ327696:CTZ327698 CKD327696:CKD327698 CAH327696:CAH327698 BQL327696:BQL327698 BGP327696:BGP327698 AWT327696:AWT327698 AMX327696:AMX327698 ADB327696:ADB327698 TF327696:TF327698 JJ327696:JJ327698 N327696:N327698 WVV262160:WVV262162 WLZ262160:WLZ262162 WCD262160:WCD262162 VSH262160:VSH262162 VIL262160:VIL262162 UYP262160:UYP262162 UOT262160:UOT262162 UEX262160:UEX262162 TVB262160:TVB262162 TLF262160:TLF262162 TBJ262160:TBJ262162 SRN262160:SRN262162 SHR262160:SHR262162 RXV262160:RXV262162 RNZ262160:RNZ262162 RED262160:RED262162 QUH262160:QUH262162 QKL262160:QKL262162 QAP262160:QAP262162 PQT262160:PQT262162 PGX262160:PGX262162 OXB262160:OXB262162 ONF262160:ONF262162 ODJ262160:ODJ262162 NTN262160:NTN262162 NJR262160:NJR262162 MZV262160:MZV262162 MPZ262160:MPZ262162 MGD262160:MGD262162 LWH262160:LWH262162 LML262160:LML262162 LCP262160:LCP262162 KST262160:KST262162 KIX262160:KIX262162 JZB262160:JZB262162 JPF262160:JPF262162 JFJ262160:JFJ262162 IVN262160:IVN262162 ILR262160:ILR262162 IBV262160:IBV262162 HRZ262160:HRZ262162 HID262160:HID262162 GYH262160:GYH262162 GOL262160:GOL262162 GEP262160:GEP262162 FUT262160:FUT262162 FKX262160:FKX262162 FBB262160:FBB262162 ERF262160:ERF262162 EHJ262160:EHJ262162 DXN262160:DXN262162 DNR262160:DNR262162 DDV262160:DDV262162 CTZ262160:CTZ262162 CKD262160:CKD262162 CAH262160:CAH262162 BQL262160:BQL262162 BGP262160:BGP262162 AWT262160:AWT262162 AMX262160:AMX262162 ADB262160:ADB262162 TF262160:TF262162 JJ262160:JJ262162 N262160:N262162 WVV196624:WVV196626 WLZ196624:WLZ196626 WCD196624:WCD196626 VSH196624:VSH196626 VIL196624:VIL196626 UYP196624:UYP196626 UOT196624:UOT196626 UEX196624:UEX196626 TVB196624:TVB196626 TLF196624:TLF196626 TBJ196624:TBJ196626 SRN196624:SRN196626 SHR196624:SHR196626 RXV196624:RXV196626 RNZ196624:RNZ196626 RED196624:RED196626 QUH196624:QUH196626 QKL196624:QKL196626 QAP196624:QAP196626 PQT196624:PQT196626 PGX196624:PGX196626 OXB196624:OXB196626 ONF196624:ONF196626 ODJ196624:ODJ196626 NTN196624:NTN196626 NJR196624:NJR196626 MZV196624:MZV196626 MPZ196624:MPZ196626 MGD196624:MGD196626 LWH196624:LWH196626 LML196624:LML196626 LCP196624:LCP196626 KST196624:KST196626 KIX196624:KIX196626 JZB196624:JZB196626 JPF196624:JPF196626 JFJ196624:JFJ196626 IVN196624:IVN196626 ILR196624:ILR196626 IBV196624:IBV196626 HRZ196624:HRZ196626 HID196624:HID196626 GYH196624:GYH196626 GOL196624:GOL196626 GEP196624:GEP196626 FUT196624:FUT196626 FKX196624:FKX196626 FBB196624:FBB196626 ERF196624:ERF196626 EHJ196624:EHJ196626 DXN196624:DXN196626 DNR196624:DNR196626 DDV196624:DDV196626 CTZ196624:CTZ196626 CKD196624:CKD196626 CAH196624:CAH196626 BQL196624:BQL196626 BGP196624:BGP196626 AWT196624:AWT196626 AMX196624:AMX196626 ADB196624:ADB196626 TF196624:TF196626 JJ196624:JJ196626 N196624:N196626 WVV131088:WVV131090 WLZ131088:WLZ131090 WCD131088:WCD131090 VSH131088:VSH131090 VIL131088:VIL131090 UYP131088:UYP131090 UOT131088:UOT131090 UEX131088:UEX131090 TVB131088:TVB131090 TLF131088:TLF131090 TBJ131088:TBJ131090 SRN131088:SRN131090 SHR131088:SHR131090 RXV131088:RXV131090 RNZ131088:RNZ131090 RED131088:RED131090 QUH131088:QUH131090 QKL131088:QKL131090 QAP131088:QAP131090 PQT131088:PQT131090 PGX131088:PGX131090 OXB131088:OXB131090 ONF131088:ONF131090 ODJ131088:ODJ131090 NTN131088:NTN131090 NJR131088:NJR131090 MZV131088:MZV131090 MPZ131088:MPZ131090 MGD131088:MGD131090 LWH131088:LWH131090 LML131088:LML131090 LCP131088:LCP131090 KST131088:KST131090 KIX131088:KIX131090 JZB131088:JZB131090 JPF131088:JPF131090 JFJ131088:JFJ131090 IVN131088:IVN131090 ILR131088:ILR131090 IBV131088:IBV131090 HRZ131088:HRZ131090 HID131088:HID131090 GYH131088:GYH131090 GOL131088:GOL131090 GEP131088:GEP131090 FUT131088:FUT131090 FKX131088:FKX131090 FBB131088:FBB131090 ERF131088:ERF131090 EHJ131088:EHJ131090 DXN131088:DXN131090 DNR131088:DNR131090 DDV131088:DDV131090 CTZ131088:CTZ131090 CKD131088:CKD131090 CAH131088:CAH131090 BQL131088:BQL131090 BGP131088:BGP131090 AWT131088:AWT131090 AMX131088:AMX131090 ADB131088:ADB131090 TF131088:TF131090 JJ131088:JJ131090 N131088:N131090 WVV65552:WVV65554 WLZ65552:WLZ65554 WCD65552:WCD65554 VSH65552:VSH65554 VIL65552:VIL65554 UYP65552:UYP65554 UOT65552:UOT65554 UEX65552:UEX65554 TVB65552:TVB65554 TLF65552:TLF65554 TBJ65552:TBJ65554 SRN65552:SRN65554 SHR65552:SHR65554 RXV65552:RXV65554 RNZ65552:RNZ65554 RED65552:RED65554 QUH65552:QUH65554 QKL65552:QKL65554 QAP65552:QAP65554 PQT65552:PQT65554 PGX65552:PGX65554 OXB65552:OXB65554 ONF65552:ONF65554 ODJ65552:ODJ65554 NTN65552:NTN65554 NJR65552:NJR65554 MZV65552:MZV65554 MPZ65552:MPZ65554 MGD65552:MGD65554 LWH65552:LWH65554 LML65552:LML65554 LCP65552:LCP65554 KST65552:KST65554 KIX65552:KIX65554 JZB65552:JZB65554 JPF65552:JPF65554 JFJ65552:JFJ65554 IVN65552:IVN65554 ILR65552:ILR65554 IBV65552:IBV65554 HRZ65552:HRZ65554 HID65552:HID65554 GYH65552:GYH65554 GOL65552:GOL65554 GEP65552:GEP65554 FUT65552:FUT65554 FKX65552:FKX65554 FBB65552:FBB65554 ERF65552:ERF65554 EHJ65552:EHJ65554 DXN65552:DXN65554 DNR65552:DNR65554 DDV65552:DDV65554 CTZ65552:CTZ65554 CKD65552:CKD65554 CAH65552:CAH65554 BQL65552:BQL65554 BGP65552:BGP65554 AWT65552:AWT65554 AMX65552:AMX65554 ADB65552:ADB65554 TF65552:TF65554 N31:N32">
      <formula1>$L$17:$L$21</formula1>
    </dataValidation>
    <dataValidation type="list" allowBlank="1" showInputMessage="1" showErrorMessage="1" sqref="C30:C31 M30">
      <formula1>$D$17:$D$21</formula1>
    </dataValidation>
    <dataValidation type="decimal" operator="greaterThan" allowBlank="1" showInputMessage="1" showErrorMessage="1" sqref="C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C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C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C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C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C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C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C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C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C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C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C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C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C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C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formula1>0</formula1>
    </dataValidation>
    <dataValidation type="list" allowBlank="1" showInputMessage="1" showErrorMessage="1" sqref="WVM983056 JA30:JA32 SW30:SW32 ACS30:ACS32 AMO30:AMO32 AWK30:AWK32 BGG30:BGG32 BQC30:BQC32 BZY30:BZY32 CJU30:CJU32 CTQ30:CTQ32 DDM30:DDM32 DNI30:DNI32 DXE30:DXE32 EHA30:EHA32 EQW30:EQW32 FAS30:FAS32 FKO30:FKO32 FUK30:FUK32 GEG30:GEG32 GOC30:GOC32 GXY30:GXY32 HHU30:HHU32 HRQ30:HRQ32 IBM30:IBM32 ILI30:ILI32 IVE30:IVE32 JFA30:JFA32 JOW30:JOW32 JYS30:JYS32 KIO30:KIO32 KSK30:KSK32 LCG30:LCG32 LMC30:LMC32 LVY30:LVY32 MFU30:MFU32 MPQ30:MPQ32 MZM30:MZM32 NJI30:NJI32 NTE30:NTE32 ODA30:ODA32 OMW30:OMW32 OWS30:OWS32 PGO30:PGO32 PQK30:PQK32 QAG30:QAG32 QKC30:QKC32 QTY30:QTY32 RDU30:RDU32 RNQ30:RNQ32 RXM30:RXM32 SHI30:SHI32 SRE30:SRE32 TBA30:TBA32 TKW30:TKW32 TUS30:TUS32 UEO30:UEO32 UOK30:UOK32 UYG30:UYG32 VIC30:VIC32 VRY30:VRY32 WBU30:WBU32 WLQ30:WLQ32 WVM30:WVM32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E30:E31 O30">
      <formula1>$H$17:$H$20</formula1>
    </dataValidation>
  </dataValidations>
  <pageMargins left="0.7" right="0.7" top="0.75" bottom="0.75" header="0.3" footer="0.3"/>
  <ignoredErrors>
    <ignoredError sqref="D7:F7 D5:I5 D6:F6 H6:I6 H7:I7" unlocked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0"/>
  <sheetViews>
    <sheetView zoomScaleNormal="100" workbookViewId="0">
      <selection sqref="A1:A2"/>
    </sheetView>
  </sheetViews>
  <sheetFormatPr baseColWidth="10" defaultColWidth="11.42578125" defaultRowHeight="15" x14ac:dyDescent="0.25"/>
  <cols>
    <col min="1" max="1" width="37.28515625" style="440" customWidth="1"/>
    <col min="2" max="2" width="39.42578125" style="440" customWidth="1"/>
    <col min="3" max="3" width="35.140625" style="440" customWidth="1"/>
    <col min="4" max="4" width="28" style="440" customWidth="1"/>
    <col min="5" max="5" width="26.7109375" style="440" customWidth="1"/>
    <col min="6" max="6" width="29.140625" style="440" customWidth="1"/>
    <col min="7" max="7" width="49.7109375" style="440" customWidth="1"/>
    <col min="8" max="8" width="33.140625" style="442" customWidth="1"/>
    <col min="9" max="9" width="33" style="442" customWidth="1"/>
    <col min="10" max="11" width="29" style="440" customWidth="1"/>
    <col min="12" max="12" width="22.7109375" style="440" customWidth="1"/>
    <col min="13" max="14" width="11.42578125" style="440"/>
    <col min="15" max="15" width="16.42578125" style="440" customWidth="1"/>
    <col min="16" max="256" width="11.42578125" style="440"/>
    <col min="257" max="257" width="37.28515625" style="440" customWidth="1"/>
    <col min="258" max="258" width="39.42578125" style="440" customWidth="1"/>
    <col min="259" max="259" width="35.140625" style="440" customWidth="1"/>
    <col min="260" max="260" width="28" style="440" customWidth="1"/>
    <col min="261" max="261" width="26.7109375" style="440" customWidth="1"/>
    <col min="262" max="262" width="23.7109375" style="440" customWidth="1"/>
    <col min="263" max="263" width="30.7109375" style="440" bestFit="1" customWidth="1"/>
    <col min="264" max="264" width="24.140625" style="440" customWidth="1"/>
    <col min="265" max="265" width="30.42578125" style="440" customWidth="1"/>
    <col min="266" max="267" width="29" style="440" customWidth="1"/>
    <col min="268" max="268" width="22.7109375" style="440" customWidth="1"/>
    <col min="269" max="270" width="11.42578125" style="440"/>
    <col min="271" max="271" width="16.42578125" style="440" customWidth="1"/>
    <col min="272" max="512" width="11.42578125" style="440"/>
    <col min="513" max="513" width="37.28515625" style="440" customWidth="1"/>
    <col min="514" max="514" width="39.42578125" style="440" customWidth="1"/>
    <col min="515" max="515" width="35.140625" style="440" customWidth="1"/>
    <col min="516" max="516" width="28" style="440" customWidth="1"/>
    <col min="517" max="517" width="26.7109375" style="440" customWidth="1"/>
    <col min="518" max="518" width="23.7109375" style="440" customWidth="1"/>
    <col min="519" max="519" width="30.7109375" style="440" bestFit="1" customWidth="1"/>
    <col min="520" max="520" width="24.140625" style="440" customWidth="1"/>
    <col min="521" max="521" width="30.42578125" style="440" customWidth="1"/>
    <col min="522" max="523" width="29" style="440" customWidth="1"/>
    <col min="524" max="524" width="22.7109375" style="440" customWidth="1"/>
    <col min="525" max="526" width="11.42578125" style="440"/>
    <col min="527" max="527" width="16.42578125" style="440" customWidth="1"/>
    <col min="528" max="768" width="11.42578125" style="440"/>
    <col min="769" max="769" width="37.28515625" style="440" customWidth="1"/>
    <col min="770" max="770" width="39.42578125" style="440" customWidth="1"/>
    <col min="771" max="771" width="35.140625" style="440" customWidth="1"/>
    <col min="772" max="772" width="28" style="440" customWidth="1"/>
    <col min="773" max="773" width="26.7109375" style="440" customWidth="1"/>
    <col min="774" max="774" width="23.7109375" style="440" customWidth="1"/>
    <col min="775" max="775" width="30.7109375" style="440" bestFit="1" customWidth="1"/>
    <col min="776" max="776" width="24.140625" style="440" customWidth="1"/>
    <col min="777" max="777" width="30.42578125" style="440" customWidth="1"/>
    <col min="778" max="779" width="29" style="440" customWidth="1"/>
    <col min="780" max="780" width="22.7109375" style="440" customWidth="1"/>
    <col min="781" max="782" width="11.42578125" style="440"/>
    <col min="783" max="783" width="16.42578125" style="440" customWidth="1"/>
    <col min="784" max="1024" width="11.42578125" style="440"/>
    <col min="1025" max="1025" width="37.28515625" style="440" customWidth="1"/>
    <col min="1026" max="1026" width="39.42578125" style="440" customWidth="1"/>
    <col min="1027" max="1027" width="35.140625" style="440" customWidth="1"/>
    <col min="1028" max="1028" width="28" style="440" customWidth="1"/>
    <col min="1029" max="1029" width="26.7109375" style="440" customWidth="1"/>
    <col min="1030" max="1030" width="23.7109375" style="440" customWidth="1"/>
    <col min="1031" max="1031" width="30.7109375" style="440" bestFit="1" customWidth="1"/>
    <col min="1032" max="1032" width="24.140625" style="440" customWidth="1"/>
    <col min="1033" max="1033" width="30.42578125" style="440" customWidth="1"/>
    <col min="1034" max="1035" width="29" style="440" customWidth="1"/>
    <col min="1036" max="1036" width="22.7109375" style="440" customWidth="1"/>
    <col min="1037" max="1038" width="11.42578125" style="440"/>
    <col min="1039" max="1039" width="16.42578125" style="440" customWidth="1"/>
    <col min="1040" max="1280" width="11.42578125" style="440"/>
    <col min="1281" max="1281" width="37.28515625" style="440" customWidth="1"/>
    <col min="1282" max="1282" width="39.42578125" style="440" customWidth="1"/>
    <col min="1283" max="1283" width="35.140625" style="440" customWidth="1"/>
    <col min="1284" max="1284" width="28" style="440" customWidth="1"/>
    <col min="1285" max="1285" width="26.7109375" style="440" customWidth="1"/>
    <col min="1286" max="1286" width="23.7109375" style="440" customWidth="1"/>
    <col min="1287" max="1287" width="30.7109375" style="440" bestFit="1" customWidth="1"/>
    <col min="1288" max="1288" width="24.140625" style="440" customWidth="1"/>
    <col min="1289" max="1289" width="30.42578125" style="440" customWidth="1"/>
    <col min="1290" max="1291" width="29" style="440" customWidth="1"/>
    <col min="1292" max="1292" width="22.7109375" style="440" customWidth="1"/>
    <col min="1293" max="1294" width="11.42578125" style="440"/>
    <col min="1295" max="1295" width="16.42578125" style="440" customWidth="1"/>
    <col min="1296" max="1536" width="11.42578125" style="440"/>
    <col min="1537" max="1537" width="37.28515625" style="440" customWidth="1"/>
    <col min="1538" max="1538" width="39.42578125" style="440" customWidth="1"/>
    <col min="1539" max="1539" width="35.140625" style="440" customWidth="1"/>
    <col min="1540" max="1540" width="28" style="440" customWidth="1"/>
    <col min="1541" max="1541" width="26.7109375" style="440" customWidth="1"/>
    <col min="1542" max="1542" width="23.7109375" style="440" customWidth="1"/>
    <col min="1543" max="1543" width="30.7109375" style="440" bestFit="1" customWidth="1"/>
    <col min="1544" max="1544" width="24.140625" style="440" customWidth="1"/>
    <col min="1545" max="1545" width="30.42578125" style="440" customWidth="1"/>
    <col min="1546" max="1547" width="29" style="440" customWidth="1"/>
    <col min="1548" max="1548" width="22.7109375" style="440" customWidth="1"/>
    <col min="1549" max="1550" width="11.42578125" style="440"/>
    <col min="1551" max="1551" width="16.42578125" style="440" customWidth="1"/>
    <col min="1552" max="1792" width="11.42578125" style="440"/>
    <col min="1793" max="1793" width="37.28515625" style="440" customWidth="1"/>
    <col min="1794" max="1794" width="39.42578125" style="440" customWidth="1"/>
    <col min="1795" max="1795" width="35.140625" style="440" customWidth="1"/>
    <col min="1796" max="1796" width="28" style="440" customWidth="1"/>
    <col min="1797" max="1797" width="26.7109375" style="440" customWidth="1"/>
    <col min="1798" max="1798" width="23.7109375" style="440" customWidth="1"/>
    <col min="1799" max="1799" width="30.7109375" style="440" bestFit="1" customWidth="1"/>
    <col min="1800" max="1800" width="24.140625" style="440" customWidth="1"/>
    <col min="1801" max="1801" width="30.42578125" style="440" customWidth="1"/>
    <col min="1802" max="1803" width="29" style="440" customWidth="1"/>
    <col min="1804" max="1804" width="22.7109375" style="440" customWidth="1"/>
    <col min="1805" max="1806" width="11.42578125" style="440"/>
    <col min="1807" max="1807" width="16.42578125" style="440" customWidth="1"/>
    <col min="1808" max="2048" width="11.42578125" style="440"/>
    <col min="2049" max="2049" width="37.28515625" style="440" customWidth="1"/>
    <col min="2050" max="2050" width="39.42578125" style="440" customWidth="1"/>
    <col min="2051" max="2051" width="35.140625" style="440" customWidth="1"/>
    <col min="2052" max="2052" width="28" style="440" customWidth="1"/>
    <col min="2053" max="2053" width="26.7109375" style="440" customWidth="1"/>
    <col min="2054" max="2054" width="23.7109375" style="440" customWidth="1"/>
    <col min="2055" max="2055" width="30.7109375" style="440" bestFit="1" customWidth="1"/>
    <col min="2056" max="2056" width="24.140625" style="440" customWidth="1"/>
    <col min="2057" max="2057" width="30.42578125" style="440" customWidth="1"/>
    <col min="2058" max="2059" width="29" style="440" customWidth="1"/>
    <col min="2060" max="2060" width="22.7109375" style="440" customWidth="1"/>
    <col min="2061" max="2062" width="11.42578125" style="440"/>
    <col min="2063" max="2063" width="16.42578125" style="440" customWidth="1"/>
    <col min="2064" max="2304" width="11.42578125" style="440"/>
    <col min="2305" max="2305" width="37.28515625" style="440" customWidth="1"/>
    <col min="2306" max="2306" width="39.42578125" style="440" customWidth="1"/>
    <col min="2307" max="2307" width="35.140625" style="440" customWidth="1"/>
    <col min="2308" max="2308" width="28" style="440" customWidth="1"/>
    <col min="2309" max="2309" width="26.7109375" style="440" customWidth="1"/>
    <col min="2310" max="2310" width="23.7109375" style="440" customWidth="1"/>
    <col min="2311" max="2311" width="30.7109375" style="440" bestFit="1" customWidth="1"/>
    <col min="2312" max="2312" width="24.140625" style="440" customWidth="1"/>
    <col min="2313" max="2313" width="30.42578125" style="440" customWidth="1"/>
    <col min="2314" max="2315" width="29" style="440" customWidth="1"/>
    <col min="2316" max="2316" width="22.7109375" style="440" customWidth="1"/>
    <col min="2317" max="2318" width="11.42578125" style="440"/>
    <col min="2319" max="2319" width="16.42578125" style="440" customWidth="1"/>
    <col min="2320" max="2560" width="11.42578125" style="440"/>
    <col min="2561" max="2561" width="37.28515625" style="440" customWidth="1"/>
    <col min="2562" max="2562" width="39.42578125" style="440" customWidth="1"/>
    <col min="2563" max="2563" width="35.140625" style="440" customWidth="1"/>
    <col min="2564" max="2564" width="28" style="440" customWidth="1"/>
    <col min="2565" max="2565" width="26.7109375" style="440" customWidth="1"/>
    <col min="2566" max="2566" width="23.7109375" style="440" customWidth="1"/>
    <col min="2567" max="2567" width="30.7109375" style="440" bestFit="1" customWidth="1"/>
    <col min="2568" max="2568" width="24.140625" style="440" customWidth="1"/>
    <col min="2569" max="2569" width="30.42578125" style="440" customWidth="1"/>
    <col min="2570" max="2571" width="29" style="440" customWidth="1"/>
    <col min="2572" max="2572" width="22.7109375" style="440" customWidth="1"/>
    <col min="2573" max="2574" width="11.42578125" style="440"/>
    <col min="2575" max="2575" width="16.42578125" style="440" customWidth="1"/>
    <col min="2576" max="2816" width="11.42578125" style="440"/>
    <col min="2817" max="2817" width="37.28515625" style="440" customWidth="1"/>
    <col min="2818" max="2818" width="39.42578125" style="440" customWidth="1"/>
    <col min="2819" max="2819" width="35.140625" style="440" customWidth="1"/>
    <col min="2820" max="2820" width="28" style="440" customWidth="1"/>
    <col min="2821" max="2821" width="26.7109375" style="440" customWidth="1"/>
    <col min="2822" max="2822" width="23.7109375" style="440" customWidth="1"/>
    <col min="2823" max="2823" width="30.7109375" style="440" bestFit="1" customWidth="1"/>
    <col min="2824" max="2824" width="24.140625" style="440" customWidth="1"/>
    <col min="2825" max="2825" width="30.42578125" style="440" customWidth="1"/>
    <col min="2826" max="2827" width="29" style="440" customWidth="1"/>
    <col min="2828" max="2828" width="22.7109375" style="440" customWidth="1"/>
    <col min="2829" max="2830" width="11.42578125" style="440"/>
    <col min="2831" max="2831" width="16.42578125" style="440" customWidth="1"/>
    <col min="2832" max="3072" width="11.42578125" style="440"/>
    <col min="3073" max="3073" width="37.28515625" style="440" customWidth="1"/>
    <col min="3074" max="3074" width="39.42578125" style="440" customWidth="1"/>
    <col min="3075" max="3075" width="35.140625" style="440" customWidth="1"/>
    <col min="3076" max="3076" width="28" style="440" customWidth="1"/>
    <col min="3077" max="3077" width="26.7109375" style="440" customWidth="1"/>
    <col min="3078" max="3078" width="23.7109375" style="440" customWidth="1"/>
    <col min="3079" max="3079" width="30.7109375" style="440" bestFit="1" customWidth="1"/>
    <col min="3080" max="3080" width="24.140625" style="440" customWidth="1"/>
    <col min="3081" max="3081" width="30.42578125" style="440" customWidth="1"/>
    <col min="3082" max="3083" width="29" style="440" customWidth="1"/>
    <col min="3084" max="3084" width="22.7109375" style="440" customWidth="1"/>
    <col min="3085" max="3086" width="11.42578125" style="440"/>
    <col min="3087" max="3087" width="16.42578125" style="440" customWidth="1"/>
    <col min="3088" max="3328" width="11.42578125" style="440"/>
    <col min="3329" max="3329" width="37.28515625" style="440" customWidth="1"/>
    <col min="3330" max="3330" width="39.42578125" style="440" customWidth="1"/>
    <col min="3331" max="3331" width="35.140625" style="440" customWidth="1"/>
    <col min="3332" max="3332" width="28" style="440" customWidth="1"/>
    <col min="3333" max="3333" width="26.7109375" style="440" customWidth="1"/>
    <col min="3334" max="3334" width="23.7109375" style="440" customWidth="1"/>
    <col min="3335" max="3335" width="30.7109375" style="440" bestFit="1" customWidth="1"/>
    <col min="3336" max="3336" width="24.140625" style="440" customWidth="1"/>
    <col min="3337" max="3337" width="30.42578125" style="440" customWidth="1"/>
    <col min="3338" max="3339" width="29" style="440" customWidth="1"/>
    <col min="3340" max="3340" width="22.7109375" style="440" customWidth="1"/>
    <col min="3341" max="3342" width="11.42578125" style="440"/>
    <col min="3343" max="3343" width="16.42578125" style="440" customWidth="1"/>
    <col min="3344" max="3584" width="11.42578125" style="440"/>
    <col min="3585" max="3585" width="37.28515625" style="440" customWidth="1"/>
    <col min="3586" max="3586" width="39.42578125" style="440" customWidth="1"/>
    <col min="3587" max="3587" width="35.140625" style="440" customWidth="1"/>
    <col min="3588" max="3588" width="28" style="440" customWidth="1"/>
    <col min="3589" max="3589" width="26.7109375" style="440" customWidth="1"/>
    <col min="3590" max="3590" width="23.7109375" style="440" customWidth="1"/>
    <col min="3591" max="3591" width="30.7109375" style="440" bestFit="1" customWidth="1"/>
    <col min="3592" max="3592" width="24.140625" style="440" customWidth="1"/>
    <col min="3593" max="3593" width="30.42578125" style="440" customWidth="1"/>
    <col min="3594" max="3595" width="29" style="440" customWidth="1"/>
    <col min="3596" max="3596" width="22.7109375" style="440" customWidth="1"/>
    <col min="3597" max="3598" width="11.42578125" style="440"/>
    <col min="3599" max="3599" width="16.42578125" style="440" customWidth="1"/>
    <col min="3600" max="3840" width="11.42578125" style="440"/>
    <col min="3841" max="3841" width="37.28515625" style="440" customWidth="1"/>
    <col min="3842" max="3842" width="39.42578125" style="440" customWidth="1"/>
    <col min="3843" max="3843" width="35.140625" style="440" customWidth="1"/>
    <col min="3844" max="3844" width="28" style="440" customWidth="1"/>
    <col min="3845" max="3845" width="26.7109375" style="440" customWidth="1"/>
    <col min="3846" max="3846" width="23.7109375" style="440" customWidth="1"/>
    <col min="3847" max="3847" width="30.7109375" style="440" bestFit="1" customWidth="1"/>
    <col min="3848" max="3848" width="24.140625" style="440" customWidth="1"/>
    <col min="3849" max="3849" width="30.42578125" style="440" customWidth="1"/>
    <col min="3850" max="3851" width="29" style="440" customWidth="1"/>
    <col min="3852" max="3852" width="22.7109375" style="440" customWidth="1"/>
    <col min="3853" max="3854" width="11.42578125" style="440"/>
    <col min="3855" max="3855" width="16.42578125" style="440" customWidth="1"/>
    <col min="3856" max="4096" width="11.42578125" style="440"/>
    <col min="4097" max="4097" width="37.28515625" style="440" customWidth="1"/>
    <col min="4098" max="4098" width="39.42578125" style="440" customWidth="1"/>
    <col min="4099" max="4099" width="35.140625" style="440" customWidth="1"/>
    <col min="4100" max="4100" width="28" style="440" customWidth="1"/>
    <col min="4101" max="4101" width="26.7109375" style="440" customWidth="1"/>
    <col min="4102" max="4102" width="23.7109375" style="440" customWidth="1"/>
    <col min="4103" max="4103" width="30.7109375" style="440" bestFit="1" customWidth="1"/>
    <col min="4104" max="4104" width="24.140625" style="440" customWidth="1"/>
    <col min="4105" max="4105" width="30.42578125" style="440" customWidth="1"/>
    <col min="4106" max="4107" width="29" style="440" customWidth="1"/>
    <col min="4108" max="4108" width="22.7109375" style="440" customWidth="1"/>
    <col min="4109" max="4110" width="11.42578125" style="440"/>
    <col min="4111" max="4111" width="16.42578125" style="440" customWidth="1"/>
    <col min="4112" max="4352" width="11.42578125" style="440"/>
    <col min="4353" max="4353" width="37.28515625" style="440" customWidth="1"/>
    <col min="4354" max="4354" width="39.42578125" style="440" customWidth="1"/>
    <col min="4355" max="4355" width="35.140625" style="440" customWidth="1"/>
    <col min="4356" max="4356" width="28" style="440" customWidth="1"/>
    <col min="4357" max="4357" width="26.7109375" style="440" customWidth="1"/>
    <col min="4358" max="4358" width="23.7109375" style="440" customWidth="1"/>
    <col min="4359" max="4359" width="30.7109375" style="440" bestFit="1" customWidth="1"/>
    <col min="4360" max="4360" width="24.140625" style="440" customWidth="1"/>
    <col min="4361" max="4361" width="30.42578125" style="440" customWidth="1"/>
    <col min="4362" max="4363" width="29" style="440" customWidth="1"/>
    <col min="4364" max="4364" width="22.7109375" style="440" customWidth="1"/>
    <col min="4365" max="4366" width="11.42578125" style="440"/>
    <col min="4367" max="4367" width="16.42578125" style="440" customWidth="1"/>
    <col min="4368" max="4608" width="11.42578125" style="440"/>
    <col min="4609" max="4609" width="37.28515625" style="440" customWidth="1"/>
    <col min="4610" max="4610" width="39.42578125" style="440" customWidth="1"/>
    <col min="4611" max="4611" width="35.140625" style="440" customWidth="1"/>
    <col min="4612" max="4612" width="28" style="440" customWidth="1"/>
    <col min="4613" max="4613" width="26.7109375" style="440" customWidth="1"/>
    <col min="4614" max="4614" width="23.7109375" style="440" customWidth="1"/>
    <col min="4615" max="4615" width="30.7109375" style="440" bestFit="1" customWidth="1"/>
    <col min="4616" max="4616" width="24.140625" style="440" customWidth="1"/>
    <col min="4617" max="4617" width="30.42578125" style="440" customWidth="1"/>
    <col min="4618" max="4619" width="29" style="440" customWidth="1"/>
    <col min="4620" max="4620" width="22.7109375" style="440" customWidth="1"/>
    <col min="4621" max="4622" width="11.42578125" style="440"/>
    <col min="4623" max="4623" width="16.42578125" style="440" customWidth="1"/>
    <col min="4624" max="4864" width="11.42578125" style="440"/>
    <col min="4865" max="4865" width="37.28515625" style="440" customWidth="1"/>
    <col min="4866" max="4866" width="39.42578125" style="440" customWidth="1"/>
    <col min="4867" max="4867" width="35.140625" style="440" customWidth="1"/>
    <col min="4868" max="4868" width="28" style="440" customWidth="1"/>
    <col min="4869" max="4869" width="26.7109375" style="440" customWidth="1"/>
    <col min="4870" max="4870" width="23.7109375" style="440" customWidth="1"/>
    <col min="4871" max="4871" width="30.7109375" style="440" bestFit="1" customWidth="1"/>
    <col min="4872" max="4872" width="24.140625" style="440" customWidth="1"/>
    <col min="4873" max="4873" width="30.42578125" style="440" customWidth="1"/>
    <col min="4874" max="4875" width="29" style="440" customWidth="1"/>
    <col min="4876" max="4876" width="22.7109375" style="440" customWidth="1"/>
    <col min="4877" max="4878" width="11.42578125" style="440"/>
    <col min="4879" max="4879" width="16.42578125" style="440" customWidth="1"/>
    <col min="4880" max="5120" width="11.42578125" style="440"/>
    <col min="5121" max="5121" width="37.28515625" style="440" customWidth="1"/>
    <col min="5122" max="5122" width="39.42578125" style="440" customWidth="1"/>
    <col min="5123" max="5123" width="35.140625" style="440" customWidth="1"/>
    <col min="5124" max="5124" width="28" style="440" customWidth="1"/>
    <col min="5125" max="5125" width="26.7109375" style="440" customWidth="1"/>
    <col min="5126" max="5126" width="23.7109375" style="440" customWidth="1"/>
    <col min="5127" max="5127" width="30.7109375" style="440" bestFit="1" customWidth="1"/>
    <col min="5128" max="5128" width="24.140625" style="440" customWidth="1"/>
    <col min="5129" max="5129" width="30.42578125" style="440" customWidth="1"/>
    <col min="5130" max="5131" width="29" style="440" customWidth="1"/>
    <col min="5132" max="5132" width="22.7109375" style="440" customWidth="1"/>
    <col min="5133" max="5134" width="11.42578125" style="440"/>
    <col min="5135" max="5135" width="16.42578125" style="440" customWidth="1"/>
    <col min="5136" max="5376" width="11.42578125" style="440"/>
    <col min="5377" max="5377" width="37.28515625" style="440" customWidth="1"/>
    <col min="5378" max="5378" width="39.42578125" style="440" customWidth="1"/>
    <col min="5379" max="5379" width="35.140625" style="440" customWidth="1"/>
    <col min="5380" max="5380" width="28" style="440" customWidth="1"/>
    <col min="5381" max="5381" width="26.7109375" style="440" customWidth="1"/>
    <col min="5382" max="5382" width="23.7109375" style="440" customWidth="1"/>
    <col min="5383" max="5383" width="30.7109375" style="440" bestFit="1" customWidth="1"/>
    <col min="5384" max="5384" width="24.140625" style="440" customWidth="1"/>
    <col min="5385" max="5385" width="30.42578125" style="440" customWidth="1"/>
    <col min="5386" max="5387" width="29" style="440" customWidth="1"/>
    <col min="5388" max="5388" width="22.7109375" style="440" customWidth="1"/>
    <col min="5389" max="5390" width="11.42578125" style="440"/>
    <col min="5391" max="5391" width="16.42578125" style="440" customWidth="1"/>
    <col min="5392" max="5632" width="11.42578125" style="440"/>
    <col min="5633" max="5633" width="37.28515625" style="440" customWidth="1"/>
    <col min="5634" max="5634" width="39.42578125" style="440" customWidth="1"/>
    <col min="5635" max="5635" width="35.140625" style="440" customWidth="1"/>
    <col min="5636" max="5636" width="28" style="440" customWidth="1"/>
    <col min="5637" max="5637" width="26.7109375" style="440" customWidth="1"/>
    <col min="5638" max="5638" width="23.7109375" style="440" customWidth="1"/>
    <col min="5639" max="5639" width="30.7109375" style="440" bestFit="1" customWidth="1"/>
    <col min="5640" max="5640" width="24.140625" style="440" customWidth="1"/>
    <col min="5641" max="5641" width="30.42578125" style="440" customWidth="1"/>
    <col min="5642" max="5643" width="29" style="440" customWidth="1"/>
    <col min="5644" max="5644" width="22.7109375" style="440" customWidth="1"/>
    <col min="5645" max="5646" width="11.42578125" style="440"/>
    <col min="5647" max="5647" width="16.42578125" style="440" customWidth="1"/>
    <col min="5648" max="5888" width="11.42578125" style="440"/>
    <col min="5889" max="5889" width="37.28515625" style="440" customWidth="1"/>
    <col min="5890" max="5890" width="39.42578125" style="440" customWidth="1"/>
    <col min="5891" max="5891" width="35.140625" style="440" customWidth="1"/>
    <col min="5892" max="5892" width="28" style="440" customWidth="1"/>
    <col min="5893" max="5893" width="26.7109375" style="440" customWidth="1"/>
    <col min="5894" max="5894" width="23.7109375" style="440" customWidth="1"/>
    <col min="5895" max="5895" width="30.7109375" style="440" bestFit="1" customWidth="1"/>
    <col min="5896" max="5896" width="24.140625" style="440" customWidth="1"/>
    <col min="5897" max="5897" width="30.42578125" style="440" customWidth="1"/>
    <col min="5898" max="5899" width="29" style="440" customWidth="1"/>
    <col min="5900" max="5900" width="22.7109375" style="440" customWidth="1"/>
    <col min="5901" max="5902" width="11.42578125" style="440"/>
    <col min="5903" max="5903" width="16.42578125" style="440" customWidth="1"/>
    <col min="5904" max="6144" width="11.42578125" style="440"/>
    <col min="6145" max="6145" width="37.28515625" style="440" customWidth="1"/>
    <col min="6146" max="6146" width="39.42578125" style="440" customWidth="1"/>
    <col min="6147" max="6147" width="35.140625" style="440" customWidth="1"/>
    <col min="6148" max="6148" width="28" style="440" customWidth="1"/>
    <col min="6149" max="6149" width="26.7109375" style="440" customWidth="1"/>
    <col min="6150" max="6150" width="23.7109375" style="440" customWidth="1"/>
    <col min="6151" max="6151" width="30.7109375" style="440" bestFit="1" customWidth="1"/>
    <col min="6152" max="6152" width="24.140625" style="440" customWidth="1"/>
    <col min="6153" max="6153" width="30.42578125" style="440" customWidth="1"/>
    <col min="6154" max="6155" width="29" style="440" customWidth="1"/>
    <col min="6156" max="6156" width="22.7109375" style="440" customWidth="1"/>
    <col min="6157" max="6158" width="11.42578125" style="440"/>
    <col min="6159" max="6159" width="16.42578125" style="440" customWidth="1"/>
    <col min="6160" max="6400" width="11.42578125" style="440"/>
    <col min="6401" max="6401" width="37.28515625" style="440" customWidth="1"/>
    <col min="6402" max="6402" width="39.42578125" style="440" customWidth="1"/>
    <col min="6403" max="6403" width="35.140625" style="440" customWidth="1"/>
    <col min="6404" max="6404" width="28" style="440" customWidth="1"/>
    <col min="6405" max="6405" width="26.7109375" style="440" customWidth="1"/>
    <col min="6406" max="6406" width="23.7109375" style="440" customWidth="1"/>
    <col min="6407" max="6407" width="30.7109375" style="440" bestFit="1" customWidth="1"/>
    <col min="6408" max="6408" width="24.140625" style="440" customWidth="1"/>
    <col min="6409" max="6409" width="30.42578125" style="440" customWidth="1"/>
    <col min="6410" max="6411" width="29" style="440" customWidth="1"/>
    <col min="6412" max="6412" width="22.7109375" style="440" customWidth="1"/>
    <col min="6413" max="6414" width="11.42578125" style="440"/>
    <col min="6415" max="6415" width="16.42578125" style="440" customWidth="1"/>
    <col min="6416" max="6656" width="11.42578125" style="440"/>
    <col min="6657" max="6657" width="37.28515625" style="440" customWidth="1"/>
    <col min="6658" max="6658" width="39.42578125" style="440" customWidth="1"/>
    <col min="6659" max="6659" width="35.140625" style="440" customWidth="1"/>
    <col min="6660" max="6660" width="28" style="440" customWidth="1"/>
    <col min="6661" max="6661" width="26.7109375" style="440" customWidth="1"/>
    <col min="6662" max="6662" width="23.7109375" style="440" customWidth="1"/>
    <col min="6663" max="6663" width="30.7109375" style="440" bestFit="1" customWidth="1"/>
    <col min="6664" max="6664" width="24.140625" style="440" customWidth="1"/>
    <col min="6665" max="6665" width="30.42578125" style="440" customWidth="1"/>
    <col min="6666" max="6667" width="29" style="440" customWidth="1"/>
    <col min="6668" max="6668" width="22.7109375" style="440" customWidth="1"/>
    <col min="6669" max="6670" width="11.42578125" style="440"/>
    <col min="6671" max="6671" width="16.42578125" style="440" customWidth="1"/>
    <col min="6672" max="6912" width="11.42578125" style="440"/>
    <col min="6913" max="6913" width="37.28515625" style="440" customWidth="1"/>
    <col min="6914" max="6914" width="39.42578125" style="440" customWidth="1"/>
    <col min="6915" max="6915" width="35.140625" style="440" customWidth="1"/>
    <col min="6916" max="6916" width="28" style="440" customWidth="1"/>
    <col min="6917" max="6917" width="26.7109375" style="440" customWidth="1"/>
    <col min="6918" max="6918" width="23.7109375" style="440" customWidth="1"/>
    <col min="6919" max="6919" width="30.7109375" style="440" bestFit="1" customWidth="1"/>
    <col min="6920" max="6920" width="24.140625" style="440" customWidth="1"/>
    <col min="6921" max="6921" width="30.42578125" style="440" customWidth="1"/>
    <col min="6922" max="6923" width="29" style="440" customWidth="1"/>
    <col min="6924" max="6924" width="22.7109375" style="440" customWidth="1"/>
    <col min="6925" max="6926" width="11.42578125" style="440"/>
    <col min="6927" max="6927" width="16.42578125" style="440" customWidth="1"/>
    <col min="6928" max="7168" width="11.42578125" style="440"/>
    <col min="7169" max="7169" width="37.28515625" style="440" customWidth="1"/>
    <col min="7170" max="7170" width="39.42578125" style="440" customWidth="1"/>
    <col min="7171" max="7171" width="35.140625" style="440" customWidth="1"/>
    <col min="7172" max="7172" width="28" style="440" customWidth="1"/>
    <col min="7173" max="7173" width="26.7109375" style="440" customWidth="1"/>
    <col min="7174" max="7174" width="23.7109375" style="440" customWidth="1"/>
    <col min="7175" max="7175" width="30.7109375" style="440" bestFit="1" customWidth="1"/>
    <col min="7176" max="7176" width="24.140625" style="440" customWidth="1"/>
    <col min="7177" max="7177" width="30.42578125" style="440" customWidth="1"/>
    <col min="7178" max="7179" width="29" style="440" customWidth="1"/>
    <col min="7180" max="7180" width="22.7109375" style="440" customWidth="1"/>
    <col min="7181" max="7182" width="11.42578125" style="440"/>
    <col min="7183" max="7183" width="16.42578125" style="440" customWidth="1"/>
    <col min="7184" max="7424" width="11.42578125" style="440"/>
    <col min="7425" max="7425" width="37.28515625" style="440" customWidth="1"/>
    <col min="7426" max="7426" width="39.42578125" style="440" customWidth="1"/>
    <col min="7427" max="7427" width="35.140625" style="440" customWidth="1"/>
    <col min="7428" max="7428" width="28" style="440" customWidth="1"/>
    <col min="7429" max="7429" width="26.7109375" style="440" customWidth="1"/>
    <col min="7430" max="7430" width="23.7109375" style="440" customWidth="1"/>
    <col min="7431" max="7431" width="30.7109375" style="440" bestFit="1" customWidth="1"/>
    <col min="7432" max="7432" width="24.140625" style="440" customWidth="1"/>
    <col min="7433" max="7433" width="30.42578125" style="440" customWidth="1"/>
    <col min="7434" max="7435" width="29" style="440" customWidth="1"/>
    <col min="7436" max="7436" width="22.7109375" style="440" customWidth="1"/>
    <col min="7437" max="7438" width="11.42578125" style="440"/>
    <col min="7439" max="7439" width="16.42578125" style="440" customWidth="1"/>
    <col min="7440" max="7680" width="11.42578125" style="440"/>
    <col min="7681" max="7681" width="37.28515625" style="440" customWidth="1"/>
    <col min="7682" max="7682" width="39.42578125" style="440" customWidth="1"/>
    <col min="7683" max="7683" width="35.140625" style="440" customWidth="1"/>
    <col min="7684" max="7684" width="28" style="440" customWidth="1"/>
    <col min="7685" max="7685" width="26.7109375" style="440" customWidth="1"/>
    <col min="7686" max="7686" width="23.7109375" style="440" customWidth="1"/>
    <col min="7687" max="7687" width="30.7109375" style="440" bestFit="1" customWidth="1"/>
    <col min="7688" max="7688" width="24.140625" style="440" customWidth="1"/>
    <col min="7689" max="7689" width="30.42578125" style="440" customWidth="1"/>
    <col min="7690" max="7691" width="29" style="440" customWidth="1"/>
    <col min="7692" max="7692" width="22.7109375" style="440" customWidth="1"/>
    <col min="7693" max="7694" width="11.42578125" style="440"/>
    <col min="7695" max="7695" width="16.42578125" style="440" customWidth="1"/>
    <col min="7696" max="7936" width="11.42578125" style="440"/>
    <col min="7937" max="7937" width="37.28515625" style="440" customWidth="1"/>
    <col min="7938" max="7938" width="39.42578125" style="440" customWidth="1"/>
    <col min="7939" max="7939" width="35.140625" style="440" customWidth="1"/>
    <col min="7940" max="7940" width="28" style="440" customWidth="1"/>
    <col min="7941" max="7941" width="26.7109375" style="440" customWidth="1"/>
    <col min="7942" max="7942" width="23.7109375" style="440" customWidth="1"/>
    <col min="7943" max="7943" width="30.7109375" style="440" bestFit="1" customWidth="1"/>
    <col min="7944" max="7944" width="24.140625" style="440" customWidth="1"/>
    <col min="7945" max="7945" width="30.42578125" style="440" customWidth="1"/>
    <col min="7946" max="7947" width="29" style="440" customWidth="1"/>
    <col min="7948" max="7948" width="22.7109375" style="440" customWidth="1"/>
    <col min="7949" max="7950" width="11.42578125" style="440"/>
    <col min="7951" max="7951" width="16.42578125" style="440" customWidth="1"/>
    <col min="7952" max="8192" width="11.42578125" style="440"/>
    <col min="8193" max="8193" width="37.28515625" style="440" customWidth="1"/>
    <col min="8194" max="8194" width="39.42578125" style="440" customWidth="1"/>
    <col min="8195" max="8195" width="35.140625" style="440" customWidth="1"/>
    <col min="8196" max="8196" width="28" style="440" customWidth="1"/>
    <col min="8197" max="8197" width="26.7109375" style="440" customWidth="1"/>
    <col min="8198" max="8198" width="23.7109375" style="440" customWidth="1"/>
    <col min="8199" max="8199" width="30.7109375" style="440" bestFit="1" customWidth="1"/>
    <col min="8200" max="8200" width="24.140625" style="440" customWidth="1"/>
    <col min="8201" max="8201" width="30.42578125" style="440" customWidth="1"/>
    <col min="8202" max="8203" width="29" style="440" customWidth="1"/>
    <col min="8204" max="8204" width="22.7109375" style="440" customWidth="1"/>
    <col min="8205" max="8206" width="11.42578125" style="440"/>
    <col min="8207" max="8207" width="16.42578125" style="440" customWidth="1"/>
    <col min="8208" max="8448" width="11.42578125" style="440"/>
    <col min="8449" max="8449" width="37.28515625" style="440" customWidth="1"/>
    <col min="8450" max="8450" width="39.42578125" style="440" customWidth="1"/>
    <col min="8451" max="8451" width="35.140625" style="440" customWidth="1"/>
    <col min="8452" max="8452" width="28" style="440" customWidth="1"/>
    <col min="8453" max="8453" width="26.7109375" style="440" customWidth="1"/>
    <col min="8454" max="8454" width="23.7109375" style="440" customWidth="1"/>
    <col min="8455" max="8455" width="30.7109375" style="440" bestFit="1" customWidth="1"/>
    <col min="8456" max="8456" width="24.140625" style="440" customWidth="1"/>
    <col min="8457" max="8457" width="30.42578125" style="440" customWidth="1"/>
    <col min="8458" max="8459" width="29" style="440" customWidth="1"/>
    <col min="8460" max="8460" width="22.7109375" style="440" customWidth="1"/>
    <col min="8461" max="8462" width="11.42578125" style="440"/>
    <col min="8463" max="8463" width="16.42578125" style="440" customWidth="1"/>
    <col min="8464" max="8704" width="11.42578125" style="440"/>
    <col min="8705" max="8705" width="37.28515625" style="440" customWidth="1"/>
    <col min="8706" max="8706" width="39.42578125" style="440" customWidth="1"/>
    <col min="8707" max="8707" width="35.140625" style="440" customWidth="1"/>
    <col min="8708" max="8708" width="28" style="440" customWidth="1"/>
    <col min="8709" max="8709" width="26.7109375" style="440" customWidth="1"/>
    <col min="8710" max="8710" width="23.7109375" style="440" customWidth="1"/>
    <col min="8711" max="8711" width="30.7109375" style="440" bestFit="1" customWidth="1"/>
    <col min="8712" max="8712" width="24.140625" style="440" customWidth="1"/>
    <col min="8713" max="8713" width="30.42578125" style="440" customWidth="1"/>
    <col min="8714" max="8715" width="29" style="440" customWidth="1"/>
    <col min="8716" max="8716" width="22.7109375" style="440" customWidth="1"/>
    <col min="8717" max="8718" width="11.42578125" style="440"/>
    <col min="8719" max="8719" width="16.42578125" style="440" customWidth="1"/>
    <col min="8720" max="8960" width="11.42578125" style="440"/>
    <col min="8961" max="8961" width="37.28515625" style="440" customWidth="1"/>
    <col min="8962" max="8962" width="39.42578125" style="440" customWidth="1"/>
    <col min="8963" max="8963" width="35.140625" style="440" customWidth="1"/>
    <col min="8964" max="8964" width="28" style="440" customWidth="1"/>
    <col min="8965" max="8965" width="26.7109375" style="440" customWidth="1"/>
    <col min="8966" max="8966" width="23.7109375" style="440" customWidth="1"/>
    <col min="8967" max="8967" width="30.7109375" style="440" bestFit="1" customWidth="1"/>
    <col min="8968" max="8968" width="24.140625" style="440" customWidth="1"/>
    <col min="8969" max="8969" width="30.42578125" style="440" customWidth="1"/>
    <col min="8970" max="8971" width="29" style="440" customWidth="1"/>
    <col min="8972" max="8972" width="22.7109375" style="440" customWidth="1"/>
    <col min="8973" max="8974" width="11.42578125" style="440"/>
    <col min="8975" max="8975" width="16.42578125" style="440" customWidth="1"/>
    <col min="8976" max="9216" width="11.42578125" style="440"/>
    <col min="9217" max="9217" width="37.28515625" style="440" customWidth="1"/>
    <col min="9218" max="9218" width="39.42578125" style="440" customWidth="1"/>
    <col min="9219" max="9219" width="35.140625" style="440" customWidth="1"/>
    <col min="9220" max="9220" width="28" style="440" customWidth="1"/>
    <col min="9221" max="9221" width="26.7109375" style="440" customWidth="1"/>
    <col min="9222" max="9222" width="23.7109375" style="440" customWidth="1"/>
    <col min="9223" max="9223" width="30.7109375" style="440" bestFit="1" customWidth="1"/>
    <col min="9224" max="9224" width="24.140625" style="440" customWidth="1"/>
    <col min="9225" max="9225" width="30.42578125" style="440" customWidth="1"/>
    <col min="9226" max="9227" width="29" style="440" customWidth="1"/>
    <col min="9228" max="9228" width="22.7109375" style="440" customWidth="1"/>
    <col min="9229" max="9230" width="11.42578125" style="440"/>
    <col min="9231" max="9231" width="16.42578125" style="440" customWidth="1"/>
    <col min="9232" max="9472" width="11.42578125" style="440"/>
    <col min="9473" max="9473" width="37.28515625" style="440" customWidth="1"/>
    <col min="9474" max="9474" width="39.42578125" style="440" customWidth="1"/>
    <col min="9475" max="9475" width="35.140625" style="440" customWidth="1"/>
    <col min="9476" max="9476" width="28" style="440" customWidth="1"/>
    <col min="9477" max="9477" width="26.7109375" style="440" customWidth="1"/>
    <col min="9478" max="9478" width="23.7109375" style="440" customWidth="1"/>
    <col min="9479" max="9479" width="30.7109375" style="440" bestFit="1" customWidth="1"/>
    <col min="9480" max="9480" width="24.140625" style="440" customWidth="1"/>
    <col min="9481" max="9481" width="30.42578125" style="440" customWidth="1"/>
    <col min="9482" max="9483" width="29" style="440" customWidth="1"/>
    <col min="9484" max="9484" width="22.7109375" style="440" customWidth="1"/>
    <col min="9485" max="9486" width="11.42578125" style="440"/>
    <col min="9487" max="9487" width="16.42578125" style="440" customWidth="1"/>
    <col min="9488" max="9728" width="11.42578125" style="440"/>
    <col min="9729" max="9729" width="37.28515625" style="440" customWidth="1"/>
    <col min="9730" max="9730" width="39.42578125" style="440" customWidth="1"/>
    <col min="9731" max="9731" width="35.140625" style="440" customWidth="1"/>
    <col min="9732" max="9732" width="28" style="440" customWidth="1"/>
    <col min="9733" max="9733" width="26.7109375" style="440" customWidth="1"/>
    <col min="9734" max="9734" width="23.7109375" style="440" customWidth="1"/>
    <col min="9735" max="9735" width="30.7109375" style="440" bestFit="1" customWidth="1"/>
    <col min="9736" max="9736" width="24.140625" style="440" customWidth="1"/>
    <col min="9737" max="9737" width="30.42578125" style="440" customWidth="1"/>
    <col min="9738" max="9739" width="29" style="440" customWidth="1"/>
    <col min="9740" max="9740" width="22.7109375" style="440" customWidth="1"/>
    <col min="9741" max="9742" width="11.42578125" style="440"/>
    <col min="9743" max="9743" width="16.42578125" style="440" customWidth="1"/>
    <col min="9744" max="9984" width="11.42578125" style="440"/>
    <col min="9985" max="9985" width="37.28515625" style="440" customWidth="1"/>
    <col min="9986" max="9986" width="39.42578125" style="440" customWidth="1"/>
    <col min="9987" max="9987" width="35.140625" style="440" customWidth="1"/>
    <col min="9988" max="9988" width="28" style="440" customWidth="1"/>
    <col min="9989" max="9989" width="26.7109375" style="440" customWidth="1"/>
    <col min="9990" max="9990" width="23.7109375" style="440" customWidth="1"/>
    <col min="9991" max="9991" width="30.7109375" style="440" bestFit="1" customWidth="1"/>
    <col min="9992" max="9992" width="24.140625" style="440" customWidth="1"/>
    <col min="9993" max="9993" width="30.42578125" style="440" customWidth="1"/>
    <col min="9994" max="9995" width="29" style="440" customWidth="1"/>
    <col min="9996" max="9996" width="22.7109375" style="440" customWidth="1"/>
    <col min="9997" max="9998" width="11.42578125" style="440"/>
    <col min="9999" max="9999" width="16.42578125" style="440" customWidth="1"/>
    <col min="10000" max="10240" width="11.42578125" style="440"/>
    <col min="10241" max="10241" width="37.28515625" style="440" customWidth="1"/>
    <col min="10242" max="10242" width="39.42578125" style="440" customWidth="1"/>
    <col min="10243" max="10243" width="35.140625" style="440" customWidth="1"/>
    <col min="10244" max="10244" width="28" style="440" customWidth="1"/>
    <col min="10245" max="10245" width="26.7109375" style="440" customWidth="1"/>
    <col min="10246" max="10246" width="23.7109375" style="440" customWidth="1"/>
    <col min="10247" max="10247" width="30.7109375" style="440" bestFit="1" customWidth="1"/>
    <col min="10248" max="10248" width="24.140625" style="440" customWidth="1"/>
    <col min="10249" max="10249" width="30.42578125" style="440" customWidth="1"/>
    <col min="10250" max="10251" width="29" style="440" customWidth="1"/>
    <col min="10252" max="10252" width="22.7109375" style="440" customWidth="1"/>
    <col min="10253" max="10254" width="11.42578125" style="440"/>
    <col min="10255" max="10255" width="16.42578125" style="440" customWidth="1"/>
    <col min="10256" max="10496" width="11.42578125" style="440"/>
    <col min="10497" max="10497" width="37.28515625" style="440" customWidth="1"/>
    <col min="10498" max="10498" width="39.42578125" style="440" customWidth="1"/>
    <col min="10499" max="10499" width="35.140625" style="440" customWidth="1"/>
    <col min="10500" max="10500" width="28" style="440" customWidth="1"/>
    <col min="10501" max="10501" width="26.7109375" style="440" customWidth="1"/>
    <col min="10502" max="10502" width="23.7109375" style="440" customWidth="1"/>
    <col min="10503" max="10503" width="30.7109375" style="440" bestFit="1" customWidth="1"/>
    <col min="10504" max="10504" width="24.140625" style="440" customWidth="1"/>
    <col min="10505" max="10505" width="30.42578125" style="440" customWidth="1"/>
    <col min="10506" max="10507" width="29" style="440" customWidth="1"/>
    <col min="10508" max="10508" width="22.7109375" style="440" customWidth="1"/>
    <col min="10509" max="10510" width="11.42578125" style="440"/>
    <col min="10511" max="10511" width="16.42578125" style="440" customWidth="1"/>
    <col min="10512" max="10752" width="11.42578125" style="440"/>
    <col min="10753" max="10753" width="37.28515625" style="440" customWidth="1"/>
    <col min="10754" max="10754" width="39.42578125" style="440" customWidth="1"/>
    <col min="10755" max="10755" width="35.140625" style="440" customWidth="1"/>
    <col min="10756" max="10756" width="28" style="440" customWidth="1"/>
    <col min="10757" max="10757" width="26.7109375" style="440" customWidth="1"/>
    <col min="10758" max="10758" width="23.7109375" style="440" customWidth="1"/>
    <col min="10759" max="10759" width="30.7109375" style="440" bestFit="1" customWidth="1"/>
    <col min="10760" max="10760" width="24.140625" style="440" customWidth="1"/>
    <col min="10761" max="10761" width="30.42578125" style="440" customWidth="1"/>
    <col min="10762" max="10763" width="29" style="440" customWidth="1"/>
    <col min="10764" max="10764" width="22.7109375" style="440" customWidth="1"/>
    <col min="10765" max="10766" width="11.42578125" style="440"/>
    <col min="10767" max="10767" width="16.42578125" style="440" customWidth="1"/>
    <col min="10768" max="11008" width="11.42578125" style="440"/>
    <col min="11009" max="11009" width="37.28515625" style="440" customWidth="1"/>
    <col min="11010" max="11010" width="39.42578125" style="440" customWidth="1"/>
    <col min="11011" max="11011" width="35.140625" style="440" customWidth="1"/>
    <col min="11012" max="11012" width="28" style="440" customWidth="1"/>
    <col min="11013" max="11013" width="26.7109375" style="440" customWidth="1"/>
    <col min="11014" max="11014" width="23.7109375" style="440" customWidth="1"/>
    <col min="11015" max="11015" width="30.7109375" style="440" bestFit="1" customWidth="1"/>
    <col min="11016" max="11016" width="24.140625" style="440" customWidth="1"/>
    <col min="11017" max="11017" width="30.42578125" style="440" customWidth="1"/>
    <col min="11018" max="11019" width="29" style="440" customWidth="1"/>
    <col min="11020" max="11020" width="22.7109375" style="440" customWidth="1"/>
    <col min="11021" max="11022" width="11.42578125" style="440"/>
    <col min="11023" max="11023" width="16.42578125" style="440" customWidth="1"/>
    <col min="11024" max="11264" width="11.42578125" style="440"/>
    <col min="11265" max="11265" width="37.28515625" style="440" customWidth="1"/>
    <col min="11266" max="11266" width="39.42578125" style="440" customWidth="1"/>
    <col min="11267" max="11267" width="35.140625" style="440" customWidth="1"/>
    <col min="11268" max="11268" width="28" style="440" customWidth="1"/>
    <col min="11269" max="11269" width="26.7109375" style="440" customWidth="1"/>
    <col min="11270" max="11270" width="23.7109375" style="440" customWidth="1"/>
    <col min="11271" max="11271" width="30.7109375" style="440" bestFit="1" customWidth="1"/>
    <col min="11272" max="11272" width="24.140625" style="440" customWidth="1"/>
    <col min="11273" max="11273" width="30.42578125" style="440" customWidth="1"/>
    <col min="11274" max="11275" width="29" style="440" customWidth="1"/>
    <col min="11276" max="11276" width="22.7109375" style="440" customWidth="1"/>
    <col min="11277" max="11278" width="11.42578125" style="440"/>
    <col min="11279" max="11279" width="16.42578125" style="440" customWidth="1"/>
    <col min="11280" max="11520" width="11.42578125" style="440"/>
    <col min="11521" max="11521" width="37.28515625" style="440" customWidth="1"/>
    <col min="11522" max="11522" width="39.42578125" style="440" customWidth="1"/>
    <col min="11523" max="11523" width="35.140625" style="440" customWidth="1"/>
    <col min="11524" max="11524" width="28" style="440" customWidth="1"/>
    <col min="11525" max="11525" width="26.7109375" style="440" customWidth="1"/>
    <col min="11526" max="11526" width="23.7109375" style="440" customWidth="1"/>
    <col min="11527" max="11527" width="30.7109375" style="440" bestFit="1" customWidth="1"/>
    <col min="11528" max="11528" width="24.140625" style="440" customWidth="1"/>
    <col min="11529" max="11529" width="30.42578125" style="440" customWidth="1"/>
    <col min="11530" max="11531" width="29" style="440" customWidth="1"/>
    <col min="11532" max="11532" width="22.7109375" style="440" customWidth="1"/>
    <col min="11533" max="11534" width="11.42578125" style="440"/>
    <col min="11535" max="11535" width="16.42578125" style="440" customWidth="1"/>
    <col min="11536" max="11776" width="11.42578125" style="440"/>
    <col min="11777" max="11777" width="37.28515625" style="440" customWidth="1"/>
    <col min="11778" max="11778" width="39.42578125" style="440" customWidth="1"/>
    <col min="11779" max="11779" width="35.140625" style="440" customWidth="1"/>
    <col min="11780" max="11780" width="28" style="440" customWidth="1"/>
    <col min="11781" max="11781" width="26.7109375" style="440" customWidth="1"/>
    <col min="11782" max="11782" width="23.7109375" style="440" customWidth="1"/>
    <col min="11783" max="11783" width="30.7109375" style="440" bestFit="1" customWidth="1"/>
    <col min="11784" max="11784" width="24.140625" style="440" customWidth="1"/>
    <col min="11785" max="11785" width="30.42578125" style="440" customWidth="1"/>
    <col min="11786" max="11787" width="29" style="440" customWidth="1"/>
    <col min="11788" max="11788" width="22.7109375" style="440" customWidth="1"/>
    <col min="11789" max="11790" width="11.42578125" style="440"/>
    <col min="11791" max="11791" width="16.42578125" style="440" customWidth="1"/>
    <col min="11792" max="12032" width="11.42578125" style="440"/>
    <col min="12033" max="12033" width="37.28515625" style="440" customWidth="1"/>
    <col min="12034" max="12034" width="39.42578125" style="440" customWidth="1"/>
    <col min="12035" max="12035" width="35.140625" style="440" customWidth="1"/>
    <col min="12036" max="12036" width="28" style="440" customWidth="1"/>
    <col min="12037" max="12037" width="26.7109375" style="440" customWidth="1"/>
    <col min="12038" max="12038" width="23.7109375" style="440" customWidth="1"/>
    <col min="12039" max="12039" width="30.7109375" style="440" bestFit="1" customWidth="1"/>
    <col min="12040" max="12040" width="24.140625" style="440" customWidth="1"/>
    <col min="12041" max="12041" width="30.42578125" style="440" customWidth="1"/>
    <col min="12042" max="12043" width="29" style="440" customWidth="1"/>
    <col min="12044" max="12044" width="22.7109375" style="440" customWidth="1"/>
    <col min="12045" max="12046" width="11.42578125" style="440"/>
    <col min="12047" max="12047" width="16.42578125" style="440" customWidth="1"/>
    <col min="12048" max="12288" width="11.42578125" style="440"/>
    <col min="12289" max="12289" width="37.28515625" style="440" customWidth="1"/>
    <col min="12290" max="12290" width="39.42578125" style="440" customWidth="1"/>
    <col min="12291" max="12291" width="35.140625" style="440" customWidth="1"/>
    <col min="12292" max="12292" width="28" style="440" customWidth="1"/>
    <col min="12293" max="12293" width="26.7109375" style="440" customWidth="1"/>
    <col min="12294" max="12294" width="23.7109375" style="440" customWidth="1"/>
    <col min="12295" max="12295" width="30.7109375" style="440" bestFit="1" customWidth="1"/>
    <col min="12296" max="12296" width="24.140625" style="440" customWidth="1"/>
    <col min="12297" max="12297" width="30.42578125" style="440" customWidth="1"/>
    <col min="12298" max="12299" width="29" style="440" customWidth="1"/>
    <col min="12300" max="12300" width="22.7109375" style="440" customWidth="1"/>
    <col min="12301" max="12302" width="11.42578125" style="440"/>
    <col min="12303" max="12303" width="16.42578125" style="440" customWidth="1"/>
    <col min="12304" max="12544" width="11.42578125" style="440"/>
    <col min="12545" max="12545" width="37.28515625" style="440" customWidth="1"/>
    <col min="12546" max="12546" width="39.42578125" style="440" customWidth="1"/>
    <col min="12547" max="12547" width="35.140625" style="440" customWidth="1"/>
    <col min="12548" max="12548" width="28" style="440" customWidth="1"/>
    <col min="12549" max="12549" width="26.7109375" style="440" customWidth="1"/>
    <col min="12550" max="12550" width="23.7109375" style="440" customWidth="1"/>
    <col min="12551" max="12551" width="30.7109375" style="440" bestFit="1" customWidth="1"/>
    <col min="12552" max="12552" width="24.140625" style="440" customWidth="1"/>
    <col min="12553" max="12553" width="30.42578125" style="440" customWidth="1"/>
    <col min="12554" max="12555" width="29" style="440" customWidth="1"/>
    <col min="12556" max="12556" width="22.7109375" style="440" customWidth="1"/>
    <col min="12557" max="12558" width="11.42578125" style="440"/>
    <col min="12559" max="12559" width="16.42578125" style="440" customWidth="1"/>
    <col min="12560" max="12800" width="11.42578125" style="440"/>
    <col min="12801" max="12801" width="37.28515625" style="440" customWidth="1"/>
    <col min="12802" max="12802" width="39.42578125" style="440" customWidth="1"/>
    <col min="12803" max="12803" width="35.140625" style="440" customWidth="1"/>
    <col min="12804" max="12804" width="28" style="440" customWidth="1"/>
    <col min="12805" max="12805" width="26.7109375" style="440" customWidth="1"/>
    <col min="12806" max="12806" width="23.7109375" style="440" customWidth="1"/>
    <col min="12807" max="12807" width="30.7109375" style="440" bestFit="1" customWidth="1"/>
    <col min="12808" max="12808" width="24.140625" style="440" customWidth="1"/>
    <col min="12809" max="12809" width="30.42578125" style="440" customWidth="1"/>
    <col min="12810" max="12811" width="29" style="440" customWidth="1"/>
    <col min="12812" max="12812" width="22.7109375" style="440" customWidth="1"/>
    <col min="12813" max="12814" width="11.42578125" style="440"/>
    <col min="12815" max="12815" width="16.42578125" style="440" customWidth="1"/>
    <col min="12816" max="13056" width="11.42578125" style="440"/>
    <col min="13057" max="13057" width="37.28515625" style="440" customWidth="1"/>
    <col min="13058" max="13058" width="39.42578125" style="440" customWidth="1"/>
    <col min="13059" max="13059" width="35.140625" style="440" customWidth="1"/>
    <col min="13060" max="13060" width="28" style="440" customWidth="1"/>
    <col min="13061" max="13061" width="26.7109375" style="440" customWidth="1"/>
    <col min="13062" max="13062" width="23.7109375" style="440" customWidth="1"/>
    <col min="13063" max="13063" width="30.7109375" style="440" bestFit="1" customWidth="1"/>
    <col min="13064" max="13064" width="24.140625" style="440" customWidth="1"/>
    <col min="13065" max="13065" width="30.42578125" style="440" customWidth="1"/>
    <col min="13066" max="13067" width="29" style="440" customWidth="1"/>
    <col min="13068" max="13068" width="22.7109375" style="440" customWidth="1"/>
    <col min="13069" max="13070" width="11.42578125" style="440"/>
    <col min="13071" max="13071" width="16.42578125" style="440" customWidth="1"/>
    <col min="13072" max="13312" width="11.42578125" style="440"/>
    <col min="13313" max="13313" width="37.28515625" style="440" customWidth="1"/>
    <col min="13314" max="13314" width="39.42578125" style="440" customWidth="1"/>
    <col min="13315" max="13315" width="35.140625" style="440" customWidth="1"/>
    <col min="13316" max="13316" width="28" style="440" customWidth="1"/>
    <col min="13317" max="13317" width="26.7109375" style="440" customWidth="1"/>
    <col min="13318" max="13318" width="23.7109375" style="440" customWidth="1"/>
    <col min="13319" max="13319" width="30.7109375" style="440" bestFit="1" customWidth="1"/>
    <col min="13320" max="13320" width="24.140625" style="440" customWidth="1"/>
    <col min="13321" max="13321" width="30.42578125" style="440" customWidth="1"/>
    <col min="13322" max="13323" width="29" style="440" customWidth="1"/>
    <col min="13324" max="13324" width="22.7109375" style="440" customWidth="1"/>
    <col min="13325" max="13326" width="11.42578125" style="440"/>
    <col min="13327" max="13327" width="16.42578125" style="440" customWidth="1"/>
    <col min="13328" max="13568" width="11.42578125" style="440"/>
    <col min="13569" max="13569" width="37.28515625" style="440" customWidth="1"/>
    <col min="13570" max="13570" width="39.42578125" style="440" customWidth="1"/>
    <col min="13571" max="13571" width="35.140625" style="440" customWidth="1"/>
    <col min="13572" max="13572" width="28" style="440" customWidth="1"/>
    <col min="13573" max="13573" width="26.7109375" style="440" customWidth="1"/>
    <col min="13574" max="13574" width="23.7109375" style="440" customWidth="1"/>
    <col min="13575" max="13575" width="30.7109375" style="440" bestFit="1" customWidth="1"/>
    <col min="13576" max="13576" width="24.140625" style="440" customWidth="1"/>
    <col min="13577" max="13577" width="30.42578125" style="440" customWidth="1"/>
    <col min="13578" max="13579" width="29" style="440" customWidth="1"/>
    <col min="13580" max="13580" width="22.7109375" style="440" customWidth="1"/>
    <col min="13581" max="13582" width="11.42578125" style="440"/>
    <col min="13583" max="13583" width="16.42578125" style="440" customWidth="1"/>
    <col min="13584" max="13824" width="11.42578125" style="440"/>
    <col min="13825" max="13825" width="37.28515625" style="440" customWidth="1"/>
    <col min="13826" max="13826" width="39.42578125" style="440" customWidth="1"/>
    <col min="13827" max="13827" width="35.140625" style="440" customWidth="1"/>
    <col min="13828" max="13828" width="28" style="440" customWidth="1"/>
    <col min="13829" max="13829" width="26.7109375" style="440" customWidth="1"/>
    <col min="13830" max="13830" width="23.7109375" style="440" customWidth="1"/>
    <col min="13831" max="13831" width="30.7109375" style="440" bestFit="1" customWidth="1"/>
    <col min="13832" max="13832" width="24.140625" style="440" customWidth="1"/>
    <col min="13833" max="13833" width="30.42578125" style="440" customWidth="1"/>
    <col min="13834" max="13835" width="29" style="440" customWidth="1"/>
    <col min="13836" max="13836" width="22.7109375" style="440" customWidth="1"/>
    <col min="13837" max="13838" width="11.42578125" style="440"/>
    <col min="13839" max="13839" width="16.42578125" style="440" customWidth="1"/>
    <col min="13840" max="14080" width="11.42578125" style="440"/>
    <col min="14081" max="14081" width="37.28515625" style="440" customWidth="1"/>
    <col min="14082" max="14082" width="39.42578125" style="440" customWidth="1"/>
    <col min="14083" max="14083" width="35.140625" style="440" customWidth="1"/>
    <col min="14084" max="14084" width="28" style="440" customWidth="1"/>
    <col min="14085" max="14085" width="26.7109375" style="440" customWidth="1"/>
    <col min="14086" max="14086" width="23.7109375" style="440" customWidth="1"/>
    <col min="14087" max="14087" width="30.7109375" style="440" bestFit="1" customWidth="1"/>
    <col min="14088" max="14088" width="24.140625" style="440" customWidth="1"/>
    <col min="14089" max="14089" width="30.42578125" style="440" customWidth="1"/>
    <col min="14090" max="14091" width="29" style="440" customWidth="1"/>
    <col min="14092" max="14092" width="22.7109375" style="440" customWidth="1"/>
    <col min="14093" max="14094" width="11.42578125" style="440"/>
    <col min="14095" max="14095" width="16.42578125" style="440" customWidth="1"/>
    <col min="14096" max="14336" width="11.42578125" style="440"/>
    <col min="14337" max="14337" width="37.28515625" style="440" customWidth="1"/>
    <col min="14338" max="14338" width="39.42578125" style="440" customWidth="1"/>
    <col min="14339" max="14339" width="35.140625" style="440" customWidth="1"/>
    <col min="14340" max="14340" width="28" style="440" customWidth="1"/>
    <col min="14341" max="14341" width="26.7109375" style="440" customWidth="1"/>
    <col min="14342" max="14342" width="23.7109375" style="440" customWidth="1"/>
    <col min="14343" max="14343" width="30.7109375" style="440" bestFit="1" customWidth="1"/>
    <col min="14344" max="14344" width="24.140625" style="440" customWidth="1"/>
    <col min="14345" max="14345" width="30.42578125" style="440" customWidth="1"/>
    <col min="14346" max="14347" width="29" style="440" customWidth="1"/>
    <col min="14348" max="14348" width="22.7109375" style="440" customWidth="1"/>
    <col min="14349" max="14350" width="11.42578125" style="440"/>
    <col min="14351" max="14351" width="16.42578125" style="440" customWidth="1"/>
    <col min="14352" max="14592" width="11.42578125" style="440"/>
    <col min="14593" max="14593" width="37.28515625" style="440" customWidth="1"/>
    <col min="14594" max="14594" width="39.42578125" style="440" customWidth="1"/>
    <col min="14595" max="14595" width="35.140625" style="440" customWidth="1"/>
    <col min="14596" max="14596" width="28" style="440" customWidth="1"/>
    <col min="14597" max="14597" width="26.7109375" style="440" customWidth="1"/>
    <col min="14598" max="14598" width="23.7109375" style="440" customWidth="1"/>
    <col min="14599" max="14599" width="30.7109375" style="440" bestFit="1" customWidth="1"/>
    <col min="14600" max="14600" width="24.140625" style="440" customWidth="1"/>
    <col min="14601" max="14601" width="30.42578125" style="440" customWidth="1"/>
    <col min="14602" max="14603" width="29" style="440" customWidth="1"/>
    <col min="14604" max="14604" width="22.7109375" style="440" customWidth="1"/>
    <col min="14605" max="14606" width="11.42578125" style="440"/>
    <col min="14607" max="14607" width="16.42578125" style="440" customWidth="1"/>
    <col min="14608" max="14848" width="11.42578125" style="440"/>
    <col min="14849" max="14849" width="37.28515625" style="440" customWidth="1"/>
    <col min="14850" max="14850" width="39.42578125" style="440" customWidth="1"/>
    <col min="14851" max="14851" width="35.140625" style="440" customWidth="1"/>
    <col min="14852" max="14852" width="28" style="440" customWidth="1"/>
    <col min="14853" max="14853" width="26.7109375" style="440" customWidth="1"/>
    <col min="14854" max="14854" width="23.7109375" style="440" customWidth="1"/>
    <col min="14855" max="14855" width="30.7109375" style="440" bestFit="1" customWidth="1"/>
    <col min="14856" max="14856" width="24.140625" style="440" customWidth="1"/>
    <col min="14857" max="14857" width="30.42578125" style="440" customWidth="1"/>
    <col min="14858" max="14859" width="29" style="440" customWidth="1"/>
    <col min="14860" max="14860" width="22.7109375" style="440" customWidth="1"/>
    <col min="14861" max="14862" width="11.42578125" style="440"/>
    <col min="14863" max="14863" width="16.42578125" style="440" customWidth="1"/>
    <col min="14864" max="15104" width="11.42578125" style="440"/>
    <col min="15105" max="15105" width="37.28515625" style="440" customWidth="1"/>
    <col min="15106" max="15106" width="39.42578125" style="440" customWidth="1"/>
    <col min="15107" max="15107" width="35.140625" style="440" customWidth="1"/>
    <col min="15108" max="15108" width="28" style="440" customWidth="1"/>
    <col min="15109" max="15109" width="26.7109375" style="440" customWidth="1"/>
    <col min="15110" max="15110" width="23.7109375" style="440" customWidth="1"/>
    <col min="15111" max="15111" width="30.7109375" style="440" bestFit="1" customWidth="1"/>
    <col min="15112" max="15112" width="24.140625" style="440" customWidth="1"/>
    <col min="15113" max="15113" width="30.42578125" style="440" customWidth="1"/>
    <col min="15114" max="15115" width="29" style="440" customWidth="1"/>
    <col min="15116" max="15116" width="22.7109375" style="440" customWidth="1"/>
    <col min="15117" max="15118" width="11.42578125" style="440"/>
    <col min="15119" max="15119" width="16.42578125" style="440" customWidth="1"/>
    <col min="15120" max="15360" width="11.42578125" style="440"/>
    <col min="15361" max="15361" width="37.28515625" style="440" customWidth="1"/>
    <col min="15362" max="15362" width="39.42578125" style="440" customWidth="1"/>
    <col min="15363" max="15363" width="35.140625" style="440" customWidth="1"/>
    <col min="15364" max="15364" width="28" style="440" customWidth="1"/>
    <col min="15365" max="15365" width="26.7109375" style="440" customWidth="1"/>
    <col min="15366" max="15366" width="23.7109375" style="440" customWidth="1"/>
    <col min="15367" max="15367" width="30.7109375" style="440" bestFit="1" customWidth="1"/>
    <col min="15368" max="15368" width="24.140625" style="440" customWidth="1"/>
    <col min="15369" max="15369" width="30.42578125" style="440" customWidth="1"/>
    <col min="15370" max="15371" width="29" style="440" customWidth="1"/>
    <col min="15372" max="15372" width="22.7109375" style="440" customWidth="1"/>
    <col min="15373" max="15374" width="11.42578125" style="440"/>
    <col min="15375" max="15375" width="16.42578125" style="440" customWidth="1"/>
    <col min="15376" max="15616" width="11.42578125" style="440"/>
    <col min="15617" max="15617" width="37.28515625" style="440" customWidth="1"/>
    <col min="15618" max="15618" width="39.42578125" style="440" customWidth="1"/>
    <col min="15619" max="15619" width="35.140625" style="440" customWidth="1"/>
    <col min="15620" max="15620" width="28" style="440" customWidth="1"/>
    <col min="15621" max="15621" width="26.7109375" style="440" customWidth="1"/>
    <col min="15622" max="15622" width="23.7109375" style="440" customWidth="1"/>
    <col min="15623" max="15623" width="30.7109375" style="440" bestFit="1" customWidth="1"/>
    <col min="15624" max="15624" width="24.140625" style="440" customWidth="1"/>
    <col min="15625" max="15625" width="30.42578125" style="440" customWidth="1"/>
    <col min="15626" max="15627" width="29" style="440" customWidth="1"/>
    <col min="15628" max="15628" width="22.7109375" style="440" customWidth="1"/>
    <col min="15629" max="15630" width="11.42578125" style="440"/>
    <col min="15631" max="15631" width="16.42578125" style="440" customWidth="1"/>
    <col min="15632" max="15872" width="11.42578125" style="440"/>
    <col min="15873" max="15873" width="37.28515625" style="440" customWidth="1"/>
    <col min="15874" max="15874" width="39.42578125" style="440" customWidth="1"/>
    <col min="15875" max="15875" width="35.140625" style="440" customWidth="1"/>
    <col min="15876" max="15876" width="28" style="440" customWidth="1"/>
    <col min="15877" max="15877" width="26.7109375" style="440" customWidth="1"/>
    <col min="15878" max="15878" width="23.7109375" style="440" customWidth="1"/>
    <col min="15879" max="15879" width="30.7109375" style="440" bestFit="1" customWidth="1"/>
    <col min="15880" max="15880" width="24.140625" style="440" customWidth="1"/>
    <col min="15881" max="15881" width="30.42578125" style="440" customWidth="1"/>
    <col min="15882" max="15883" width="29" style="440" customWidth="1"/>
    <col min="15884" max="15884" width="22.7109375" style="440" customWidth="1"/>
    <col min="15885" max="15886" width="11.42578125" style="440"/>
    <col min="15887" max="15887" width="16.42578125" style="440" customWidth="1"/>
    <col min="15888" max="16128" width="11.42578125" style="440"/>
    <col min="16129" max="16129" width="37.28515625" style="440" customWidth="1"/>
    <col min="16130" max="16130" width="39.42578125" style="440" customWidth="1"/>
    <col min="16131" max="16131" width="35.140625" style="440" customWidth="1"/>
    <col min="16132" max="16132" width="28" style="440" customWidth="1"/>
    <col min="16133" max="16133" width="26.7109375" style="440" customWidth="1"/>
    <col min="16134" max="16134" width="23.7109375" style="440" customWidth="1"/>
    <col min="16135" max="16135" width="30.7109375" style="440" bestFit="1" customWidth="1"/>
    <col min="16136" max="16136" width="24.140625" style="440" customWidth="1"/>
    <col min="16137" max="16137" width="30.42578125" style="440" customWidth="1"/>
    <col min="16138" max="16139" width="29" style="440" customWidth="1"/>
    <col min="16140" max="16140" width="22.7109375" style="440" customWidth="1"/>
    <col min="16141" max="16142" width="11.42578125" style="440"/>
    <col min="16143" max="16143" width="16.42578125" style="440" customWidth="1"/>
    <col min="16144" max="16384" width="11.42578125" style="440"/>
  </cols>
  <sheetData>
    <row r="1" spans="1:12" ht="47.25" customHeight="1" x14ac:dyDescent="0.25">
      <c r="A1" s="2013"/>
      <c r="B1" s="2073" t="s">
        <v>1693</v>
      </c>
      <c r="C1" s="2073"/>
      <c r="D1" s="2073"/>
      <c r="E1" s="2073"/>
      <c r="F1" s="2073"/>
      <c r="G1" s="2073"/>
      <c r="H1" s="2073"/>
      <c r="I1" s="2073"/>
      <c r="J1" s="2073"/>
      <c r="K1" s="2073"/>
      <c r="L1" s="1093" t="s">
        <v>1690</v>
      </c>
    </row>
    <row r="2" spans="1:12" ht="44.25" customHeight="1" x14ac:dyDescent="0.25">
      <c r="A2" s="2013"/>
      <c r="B2" s="2073"/>
      <c r="C2" s="2073"/>
      <c r="D2" s="2073"/>
      <c r="E2" s="2073"/>
      <c r="F2" s="2073"/>
      <c r="G2" s="2073"/>
      <c r="H2" s="2073"/>
      <c r="I2" s="2073"/>
      <c r="J2" s="2073"/>
      <c r="K2" s="2073"/>
      <c r="L2" s="1094" t="s">
        <v>1936</v>
      </c>
    </row>
    <row r="3" spans="1:12" x14ac:dyDescent="0.25">
      <c r="I3" s="440"/>
    </row>
    <row r="4" spans="1:12" s="1304" customFormat="1" ht="22.15" customHeight="1" x14ac:dyDescent="0.2">
      <c r="A4" s="441" t="s">
        <v>118</v>
      </c>
      <c r="B4" s="2014" t="str">
        <f>+FENECIMIENTO!D4</f>
        <v xml:space="preserve">150000 - DIRECCIÓN SECTOR HACIENDA </v>
      </c>
      <c r="C4" s="2014"/>
      <c r="D4" s="2014"/>
      <c r="E4" s="2014"/>
      <c r="H4" s="1305"/>
    </row>
    <row r="5" spans="1:12" s="1304" customFormat="1" ht="31.9" customHeight="1" x14ac:dyDescent="0.25">
      <c r="A5" s="441" t="s">
        <v>1</v>
      </c>
      <c r="B5" s="1988" t="str">
        <f>+FENECIMIENTO!D5</f>
        <v xml:space="preserve">206 - Fondo de Prestaciones Económicas, Cesantías y Pensiones – FONCEP </v>
      </c>
      <c r="C5" s="1989"/>
      <c r="D5" s="1215" t="s">
        <v>2</v>
      </c>
      <c r="E5" s="1306">
        <f>+FENECIMIENTO!K5</f>
        <v>2024</v>
      </c>
      <c r="H5" s="1305"/>
    </row>
    <row r="6" spans="1:12" s="1304" customFormat="1" x14ac:dyDescent="0.25">
      <c r="A6" s="441" t="s">
        <v>1683</v>
      </c>
      <c r="B6" s="1988">
        <f>+FENECIMIENTO!D6</f>
        <v>2025</v>
      </c>
      <c r="C6" s="1989"/>
      <c r="D6" s="1215" t="s">
        <v>680</v>
      </c>
      <c r="E6" s="1306">
        <f>+FENECIMIENTO!K6</f>
        <v>87</v>
      </c>
      <c r="F6" s="1606"/>
      <c r="H6" s="1305"/>
      <c r="I6" s="1305"/>
    </row>
    <row r="7" spans="1:12" x14ac:dyDescent="0.2">
      <c r="B7" s="10"/>
      <c r="C7" s="2017"/>
      <c r="D7" s="2017"/>
      <c r="E7" s="252"/>
      <c r="F7" s="444"/>
    </row>
    <row r="8" spans="1:12" ht="168.75" customHeight="1" x14ac:dyDescent="0.25">
      <c r="A8" s="2018" t="s">
        <v>885</v>
      </c>
      <c r="B8" s="2018"/>
      <c r="C8" s="2018"/>
      <c r="D8" s="2018"/>
      <c r="E8" s="2018"/>
      <c r="F8" s="2018"/>
      <c r="G8" s="2018"/>
      <c r="H8" s="2018"/>
    </row>
    <row r="9" spans="1:12" ht="15.75" thickBot="1" x14ac:dyDescent="0.25">
      <c r="A9" s="1304"/>
      <c r="B9" s="10"/>
      <c r="C9" s="1307"/>
      <c r="D9" s="1307"/>
      <c r="E9" s="1233"/>
      <c r="F9" s="444"/>
      <c r="G9" s="1304"/>
      <c r="H9" s="1305"/>
    </row>
    <row r="10" spans="1:12" ht="24" thickBot="1" x14ac:dyDescent="0.3">
      <c r="A10" s="2019" t="s">
        <v>886</v>
      </c>
      <c r="B10" s="2020"/>
      <c r="C10" s="2020"/>
      <c r="D10" s="2020"/>
      <c r="E10" s="2021"/>
      <c r="F10" s="2020"/>
      <c r="G10" s="2020"/>
      <c r="H10" s="2022"/>
      <c r="J10" s="442"/>
      <c r="K10" s="442"/>
    </row>
    <row r="11" spans="1:12" ht="47.25" x14ac:dyDescent="0.25">
      <c r="A11" s="1308" t="s">
        <v>887</v>
      </c>
      <c r="B11" s="1308" t="s">
        <v>888</v>
      </c>
      <c r="C11" s="1309" t="s">
        <v>889</v>
      </c>
      <c r="D11" s="1310" t="s">
        <v>649</v>
      </c>
      <c r="E11" s="1311" t="s">
        <v>890</v>
      </c>
      <c r="F11" s="1312"/>
      <c r="G11" s="1313"/>
      <c r="H11" s="1305"/>
      <c r="J11" s="442"/>
      <c r="K11" s="442"/>
    </row>
    <row r="12" spans="1:12" ht="15.75" x14ac:dyDescent="0.25">
      <c r="A12" s="446" t="s">
        <v>891</v>
      </c>
      <c r="B12" s="447">
        <f>C79</f>
        <v>1592844995323</v>
      </c>
      <c r="C12" s="1631">
        <f t="array" ref="C12">SUM(ABS(C24:C78))</f>
        <v>13061621838665</v>
      </c>
      <c r="D12" s="1314">
        <f>D79</f>
        <v>1255931215395</v>
      </c>
      <c r="E12" s="919">
        <f>IF(D12=0,"",D12/C12)</f>
        <v>9.6154308470116148E-2</v>
      </c>
      <c r="F12" s="448"/>
      <c r="G12" s="448"/>
      <c r="I12" s="449"/>
      <c r="J12" s="449"/>
      <c r="K12" s="449"/>
    </row>
    <row r="13" spans="1:12" ht="15.75" x14ac:dyDescent="0.25">
      <c r="A13" s="446" t="s">
        <v>892</v>
      </c>
      <c r="B13" s="447">
        <f>+C122</f>
        <v>1592844995323</v>
      </c>
      <c r="C13" s="1631">
        <f t="array" ref="C13">SUM(ABS(C83:C121))</f>
        <v>1592844995323</v>
      </c>
      <c r="D13" s="1314">
        <f>D122</f>
        <v>189115141833</v>
      </c>
      <c r="E13" s="919">
        <f>IF(D13=0,"",D13/C13)</f>
        <v>0.11872790032193364</v>
      </c>
      <c r="F13" s="1605"/>
      <c r="G13" s="448"/>
      <c r="I13" s="449"/>
      <c r="J13" s="449"/>
      <c r="K13" s="449"/>
    </row>
    <row r="14" spans="1:12" ht="15.75" x14ac:dyDescent="0.25">
      <c r="A14" s="450" t="s">
        <v>893</v>
      </c>
      <c r="B14" s="1627">
        <v>2162888261649</v>
      </c>
      <c r="C14" s="1630"/>
      <c r="D14" s="1629">
        <v>2158726448285</v>
      </c>
      <c r="E14" s="919">
        <f>IF(D14="","",D14/B14)</f>
        <v>0.99807580750342273</v>
      </c>
      <c r="F14" s="445"/>
      <c r="G14" s="448"/>
      <c r="I14" s="449"/>
      <c r="J14" s="449"/>
      <c r="K14" s="449"/>
    </row>
    <row r="15" spans="1:12" ht="15.75" x14ac:dyDescent="0.25">
      <c r="A15" s="446" t="s">
        <v>894</v>
      </c>
      <c r="B15" s="1628">
        <v>454486780672</v>
      </c>
      <c r="C15" s="1630"/>
      <c r="D15" s="1629">
        <v>363129871098</v>
      </c>
      <c r="E15" s="919">
        <f>IF(D15="","",D15/B15)</f>
        <v>0.79898885191133495</v>
      </c>
      <c r="G15" s="448"/>
      <c r="I15" s="449"/>
      <c r="J15" s="449"/>
      <c r="K15" s="449"/>
    </row>
    <row r="16" spans="1:12" ht="15.75" x14ac:dyDescent="0.25">
      <c r="A16" s="451"/>
      <c r="B16" s="452"/>
      <c r="C16" s="453"/>
      <c r="D16" s="454"/>
      <c r="E16" s="455"/>
      <c r="G16" s="448"/>
      <c r="I16" s="449"/>
      <c r="J16" s="449"/>
      <c r="K16" s="449"/>
    </row>
    <row r="17" spans="1:12" ht="132" customHeight="1" x14ac:dyDescent="0.25">
      <c r="A17" s="2023" t="s">
        <v>895</v>
      </c>
      <c r="B17" s="2023"/>
      <c r="C17" s="2023"/>
      <c r="D17" s="2023"/>
      <c r="E17" s="2023"/>
      <c r="F17" s="2023"/>
      <c r="G17" s="448"/>
      <c r="I17" s="449"/>
      <c r="J17" s="449"/>
      <c r="K17" s="449"/>
    </row>
    <row r="18" spans="1:12" x14ac:dyDescent="0.25">
      <c r="A18" s="456"/>
      <c r="B18" s="457"/>
      <c r="C18" s="457"/>
      <c r="D18" s="458"/>
      <c r="E18" s="458"/>
      <c r="F18" s="458"/>
      <c r="G18" s="458"/>
      <c r="H18" s="449"/>
      <c r="I18" s="449"/>
      <c r="J18" s="449"/>
      <c r="K18" s="449"/>
    </row>
    <row r="19" spans="1:12" ht="38.25" customHeight="1" x14ac:dyDescent="0.25">
      <c r="A19" s="2024" t="s">
        <v>896</v>
      </c>
      <c r="B19" s="2025"/>
      <c r="C19" s="2025"/>
      <c r="D19" s="2025"/>
      <c r="E19" s="2025"/>
      <c r="F19" s="2025"/>
      <c r="G19" s="2025"/>
      <c r="H19" s="2025"/>
      <c r="I19" s="2025"/>
      <c r="J19" s="2025"/>
      <c r="K19" s="2025"/>
      <c r="L19" s="2026"/>
    </row>
    <row r="20" spans="1:12" ht="18.399999999999999" customHeight="1" x14ac:dyDescent="0.25">
      <c r="A20" s="2027" t="s">
        <v>897</v>
      </c>
      <c r="B20" s="2028"/>
      <c r="C20" s="2028"/>
      <c r="D20" s="2028"/>
      <c r="E20" s="2028"/>
      <c r="F20" s="2028"/>
      <c r="G20" s="2028"/>
      <c r="H20" s="2028"/>
      <c r="I20" s="2028"/>
      <c r="J20" s="2028"/>
      <c r="K20" s="2028"/>
      <c r="L20" s="2029"/>
    </row>
    <row r="21" spans="1:12" ht="22.5" customHeight="1" thickBot="1" x14ac:dyDescent="0.3">
      <c r="A21" s="2030" t="s">
        <v>898</v>
      </c>
      <c r="B21" s="2031"/>
      <c r="C21" s="2031"/>
      <c r="D21" s="2031"/>
      <c r="E21" s="2032"/>
      <c r="F21" s="2032"/>
      <c r="G21" s="2032"/>
      <c r="H21" s="459" t="s">
        <v>899</v>
      </c>
      <c r="I21" s="460"/>
      <c r="J21" s="460"/>
      <c r="K21" s="460"/>
      <c r="L21" s="461"/>
    </row>
    <row r="22" spans="1:12" ht="17.25" customHeight="1" thickTop="1" thickBot="1" x14ac:dyDescent="0.3">
      <c r="A22" s="2033" t="s">
        <v>1848</v>
      </c>
      <c r="B22" s="2034"/>
      <c r="C22" s="2034"/>
      <c r="D22" s="2035"/>
      <c r="E22" s="2036" t="s">
        <v>900</v>
      </c>
      <c r="F22" s="2034"/>
      <c r="G22" s="2034"/>
      <c r="H22" s="2034"/>
      <c r="I22" s="2037"/>
      <c r="J22" s="462"/>
      <c r="K22" s="462"/>
      <c r="L22" s="463"/>
    </row>
    <row r="23" spans="1:12" ht="75.75" customHeight="1" thickTop="1" x14ac:dyDescent="0.25">
      <c r="A23" s="464" t="s">
        <v>901</v>
      </c>
      <c r="B23" s="465" t="s">
        <v>902</v>
      </c>
      <c r="C23" s="465" t="s">
        <v>903</v>
      </c>
      <c r="D23" s="465" t="s">
        <v>904</v>
      </c>
      <c r="E23" s="465" t="s">
        <v>905</v>
      </c>
      <c r="F23" s="465" t="s">
        <v>906</v>
      </c>
      <c r="G23" s="466" t="s">
        <v>907</v>
      </c>
      <c r="H23" s="467" t="s">
        <v>908</v>
      </c>
      <c r="I23" s="467" t="s">
        <v>909</v>
      </c>
      <c r="J23" s="467" t="s">
        <v>910</v>
      </c>
      <c r="K23" s="467" t="s">
        <v>911</v>
      </c>
      <c r="L23" s="468" t="s">
        <v>912</v>
      </c>
    </row>
    <row r="24" spans="1:12" ht="20.25" customHeight="1" x14ac:dyDescent="0.25">
      <c r="A24" s="469">
        <v>1105</v>
      </c>
      <c r="B24" s="477" t="s">
        <v>1771</v>
      </c>
      <c r="C24" s="471">
        <v>10000000</v>
      </c>
      <c r="D24" s="471">
        <v>10000000</v>
      </c>
      <c r="E24" s="471"/>
      <c r="F24" s="471"/>
      <c r="G24" s="472">
        <f t="shared" ref="G24:G78" si="0">+E24+F24</f>
        <v>0</v>
      </c>
      <c r="H24" s="473"/>
      <c r="I24" s="474">
        <f t="shared" ref="I24:I78" si="1">G24+H24</f>
        <v>0</v>
      </c>
      <c r="J24" s="475"/>
      <c r="K24" s="475" t="s">
        <v>914</v>
      </c>
      <c r="L24" s="476"/>
    </row>
    <row r="25" spans="1:12" ht="20.25" customHeight="1" x14ac:dyDescent="0.25">
      <c r="A25" s="469">
        <v>1110</v>
      </c>
      <c r="B25" s="477" t="s">
        <v>913</v>
      </c>
      <c r="C25" s="471">
        <v>70192789315</v>
      </c>
      <c r="D25" s="471">
        <v>70192789315</v>
      </c>
      <c r="E25" s="471"/>
      <c r="F25" s="471"/>
      <c r="G25" s="472">
        <f t="shared" si="0"/>
        <v>0</v>
      </c>
      <c r="H25" s="473"/>
      <c r="I25" s="474">
        <f t="shared" si="1"/>
        <v>0</v>
      </c>
      <c r="J25" s="475"/>
      <c r="K25" s="475"/>
      <c r="L25" s="476"/>
    </row>
    <row r="26" spans="1:12" ht="20.25" customHeight="1" x14ac:dyDescent="0.25">
      <c r="A26" s="469">
        <v>1132</v>
      </c>
      <c r="B26" s="477" t="s">
        <v>915</v>
      </c>
      <c r="C26" s="471">
        <v>78450000</v>
      </c>
      <c r="D26" s="471"/>
      <c r="E26" s="471"/>
      <c r="F26" s="471"/>
      <c r="G26" s="472">
        <f t="shared" si="0"/>
        <v>0</v>
      </c>
      <c r="H26" s="473"/>
      <c r="I26" s="474">
        <f t="shared" si="1"/>
        <v>0</v>
      </c>
      <c r="J26" s="475"/>
      <c r="K26" s="475"/>
      <c r="L26" s="476"/>
    </row>
    <row r="27" spans="1:12" ht="20.25" customHeight="1" x14ac:dyDescent="0.25">
      <c r="A27" s="469">
        <v>1223</v>
      </c>
      <c r="B27" s="477" t="s">
        <v>1772</v>
      </c>
      <c r="C27" s="471">
        <v>0</v>
      </c>
      <c r="D27" s="471"/>
      <c r="E27" s="471"/>
      <c r="F27" s="471"/>
      <c r="G27" s="472">
        <f t="shared" si="0"/>
        <v>0</v>
      </c>
      <c r="H27" s="473"/>
      <c r="I27" s="474">
        <f t="shared" si="1"/>
        <v>0</v>
      </c>
      <c r="J27" s="475"/>
      <c r="K27" s="475"/>
      <c r="L27" s="476"/>
    </row>
    <row r="28" spans="1:12" ht="20.25" customHeight="1" x14ac:dyDescent="0.25">
      <c r="A28" s="469">
        <v>1224</v>
      </c>
      <c r="B28" s="477" t="s">
        <v>1773</v>
      </c>
      <c r="C28" s="471">
        <v>20528265006</v>
      </c>
      <c r="D28" s="471"/>
      <c r="E28" s="471"/>
      <c r="F28" s="471"/>
      <c r="G28" s="472">
        <f t="shared" si="0"/>
        <v>0</v>
      </c>
      <c r="H28" s="473"/>
      <c r="I28" s="474">
        <f t="shared" si="1"/>
        <v>0</v>
      </c>
      <c r="J28" s="475"/>
      <c r="K28" s="475"/>
      <c r="L28" s="476"/>
    </row>
    <row r="29" spans="1:12" ht="20.25" customHeight="1" x14ac:dyDescent="0.25">
      <c r="A29" s="469">
        <v>1311</v>
      </c>
      <c r="B29" s="477" t="s">
        <v>1774</v>
      </c>
      <c r="C29" s="471">
        <v>26491885289</v>
      </c>
      <c r="D29" s="471">
        <v>26491885289</v>
      </c>
      <c r="E29" s="471"/>
      <c r="F29" s="471"/>
      <c r="G29" s="472">
        <f t="shared" si="0"/>
        <v>0</v>
      </c>
      <c r="H29" s="473"/>
      <c r="I29" s="474">
        <f t="shared" si="1"/>
        <v>0</v>
      </c>
      <c r="J29" s="475"/>
      <c r="K29" s="475"/>
      <c r="L29" s="476"/>
    </row>
    <row r="30" spans="1:12" ht="20.25" customHeight="1" x14ac:dyDescent="0.25">
      <c r="A30" s="469">
        <v>1337</v>
      </c>
      <c r="B30" s="477" t="s">
        <v>1775</v>
      </c>
      <c r="C30" s="471">
        <v>53887160072</v>
      </c>
      <c r="D30" s="471"/>
      <c r="E30" s="471"/>
      <c r="F30" s="471"/>
      <c r="G30" s="472">
        <f t="shared" si="0"/>
        <v>0</v>
      </c>
      <c r="H30" s="473"/>
      <c r="I30" s="474">
        <f t="shared" si="1"/>
        <v>0</v>
      </c>
      <c r="J30" s="475"/>
      <c r="K30" s="475"/>
      <c r="L30" s="476"/>
    </row>
    <row r="31" spans="1:12" ht="20.25" customHeight="1" x14ac:dyDescent="0.25">
      <c r="A31" s="469">
        <v>1338</v>
      </c>
      <c r="B31" s="477" t="s">
        <v>1776</v>
      </c>
      <c r="C31" s="471">
        <v>1192186</v>
      </c>
      <c r="D31" s="471"/>
      <c r="E31" s="471"/>
      <c r="F31" s="471"/>
      <c r="G31" s="472">
        <f t="shared" si="0"/>
        <v>0</v>
      </c>
      <c r="H31" s="473"/>
      <c r="I31" s="474">
        <f t="shared" si="1"/>
        <v>0</v>
      </c>
      <c r="J31" s="475"/>
      <c r="K31" s="475"/>
      <c r="L31" s="476"/>
    </row>
    <row r="32" spans="1:12" ht="20.25" customHeight="1" x14ac:dyDescent="0.25">
      <c r="A32" s="469">
        <v>1384</v>
      </c>
      <c r="B32" s="477" t="s">
        <v>916</v>
      </c>
      <c r="C32" s="471">
        <v>74910477330</v>
      </c>
      <c r="D32" s="471">
        <v>74910477330</v>
      </c>
      <c r="E32" s="471"/>
      <c r="F32" s="471"/>
      <c r="G32" s="472">
        <f t="shared" si="0"/>
        <v>0</v>
      </c>
      <c r="H32" s="473"/>
      <c r="I32" s="474">
        <f t="shared" si="1"/>
        <v>0</v>
      </c>
      <c r="J32" s="475"/>
      <c r="K32" s="475"/>
      <c r="L32" s="476"/>
    </row>
    <row r="33" spans="1:12" ht="20.25" customHeight="1" x14ac:dyDescent="0.25">
      <c r="A33" s="469">
        <v>1386</v>
      </c>
      <c r="B33" s="477" t="s">
        <v>1777</v>
      </c>
      <c r="C33" s="471">
        <v>-12951200774</v>
      </c>
      <c r="D33" s="471"/>
      <c r="E33" s="471"/>
      <c r="F33" s="471"/>
      <c r="G33" s="472">
        <f t="shared" si="0"/>
        <v>0</v>
      </c>
      <c r="H33" s="473"/>
      <c r="I33" s="474">
        <f t="shared" si="1"/>
        <v>0</v>
      </c>
      <c r="J33" s="475"/>
      <c r="K33" s="475"/>
      <c r="L33" s="476" t="s">
        <v>917</v>
      </c>
    </row>
    <row r="34" spans="1:12" ht="20.25" customHeight="1" x14ac:dyDescent="0.25">
      <c r="A34" s="469">
        <v>1510</v>
      </c>
      <c r="B34" s="477" t="s">
        <v>1778</v>
      </c>
      <c r="C34" s="471">
        <v>7543221116</v>
      </c>
      <c r="D34" s="471"/>
      <c r="E34" s="471"/>
      <c r="F34" s="471"/>
      <c r="G34" s="472">
        <f t="shared" si="0"/>
        <v>0</v>
      </c>
      <c r="H34" s="473"/>
      <c r="I34" s="474">
        <f t="shared" si="1"/>
        <v>0</v>
      </c>
      <c r="J34" s="475"/>
      <c r="K34" s="475"/>
      <c r="L34" s="476"/>
    </row>
    <row r="35" spans="1:12" ht="27.75" customHeight="1" x14ac:dyDescent="0.25">
      <c r="A35" s="469">
        <v>1530</v>
      </c>
      <c r="B35" s="477" t="s">
        <v>1779</v>
      </c>
      <c r="C35" s="471">
        <v>310778100</v>
      </c>
      <c r="D35" s="471"/>
      <c r="E35" s="471"/>
      <c r="F35" s="471"/>
      <c r="G35" s="472">
        <f t="shared" si="0"/>
        <v>0</v>
      </c>
      <c r="H35" s="473"/>
      <c r="I35" s="474">
        <f t="shared" si="1"/>
        <v>0</v>
      </c>
      <c r="J35" s="475"/>
      <c r="K35" s="475"/>
      <c r="L35" s="476"/>
    </row>
    <row r="36" spans="1:12" ht="20.25" customHeight="1" x14ac:dyDescent="0.25">
      <c r="A36" s="469">
        <v>1580</v>
      </c>
      <c r="B36" s="477" t="s">
        <v>1783</v>
      </c>
      <c r="C36" s="471">
        <v>-130971089</v>
      </c>
      <c r="D36" s="471"/>
      <c r="E36" s="471"/>
      <c r="F36" s="471"/>
      <c r="G36" s="472">
        <f t="shared" si="0"/>
        <v>0</v>
      </c>
      <c r="H36" s="473"/>
      <c r="I36" s="474">
        <f t="shared" si="1"/>
        <v>0</v>
      </c>
      <c r="J36" s="475"/>
      <c r="K36" s="475"/>
      <c r="L36" s="476"/>
    </row>
    <row r="37" spans="1:12" ht="20.25" customHeight="1" x14ac:dyDescent="0.25">
      <c r="A37" s="469">
        <v>1605</v>
      </c>
      <c r="B37" s="477" t="s">
        <v>918</v>
      </c>
      <c r="C37" s="471">
        <v>66177200768</v>
      </c>
      <c r="D37" s="471"/>
      <c r="E37" s="471"/>
      <c r="F37" s="471"/>
      <c r="G37" s="472">
        <f t="shared" si="0"/>
        <v>0</v>
      </c>
      <c r="H37" s="473"/>
      <c r="I37" s="474">
        <f t="shared" si="1"/>
        <v>0</v>
      </c>
      <c r="J37" s="475"/>
      <c r="K37" s="475"/>
      <c r="L37" s="476"/>
    </row>
    <row r="38" spans="1:12" ht="20.25" customHeight="1" x14ac:dyDescent="0.25">
      <c r="A38" s="469">
        <v>1635</v>
      </c>
      <c r="B38" s="477" t="s">
        <v>1780</v>
      </c>
      <c r="C38" s="471">
        <v>53117923776</v>
      </c>
      <c r="D38" s="471">
        <v>0</v>
      </c>
      <c r="E38" s="471"/>
      <c r="F38" s="471"/>
      <c r="G38" s="472">
        <f t="shared" si="0"/>
        <v>0</v>
      </c>
      <c r="H38" s="473"/>
      <c r="I38" s="474">
        <f t="shared" si="1"/>
        <v>0</v>
      </c>
      <c r="J38" s="475"/>
      <c r="K38" s="475"/>
      <c r="L38" s="476"/>
    </row>
    <row r="39" spans="1:12" ht="20.25" customHeight="1" x14ac:dyDescent="0.25">
      <c r="A39" s="469">
        <v>1637</v>
      </c>
      <c r="B39" s="477" t="s">
        <v>1781</v>
      </c>
      <c r="C39" s="471">
        <v>7400614696</v>
      </c>
      <c r="D39" s="471"/>
      <c r="E39" s="471"/>
      <c r="F39" s="471"/>
      <c r="G39" s="472">
        <f t="shared" si="0"/>
        <v>0</v>
      </c>
      <c r="H39" s="473"/>
      <c r="I39" s="474">
        <f t="shared" si="1"/>
        <v>0</v>
      </c>
      <c r="J39" s="475"/>
      <c r="K39" s="475"/>
      <c r="L39" s="476"/>
    </row>
    <row r="40" spans="1:12" ht="20.25" customHeight="1" x14ac:dyDescent="0.25">
      <c r="A40" s="469">
        <v>1640</v>
      </c>
      <c r="B40" s="477" t="s">
        <v>920</v>
      </c>
      <c r="C40" s="471">
        <v>30485226072</v>
      </c>
      <c r="D40" s="471"/>
      <c r="E40" s="471"/>
      <c r="F40" s="471"/>
      <c r="G40" s="472">
        <f t="shared" si="0"/>
        <v>0</v>
      </c>
      <c r="H40" s="473"/>
      <c r="I40" s="474">
        <f t="shared" si="1"/>
        <v>0</v>
      </c>
      <c r="J40" s="475"/>
      <c r="K40" s="475"/>
      <c r="L40" s="476"/>
    </row>
    <row r="41" spans="1:12" ht="20.25" customHeight="1" x14ac:dyDescent="0.25">
      <c r="A41" s="469">
        <v>1650</v>
      </c>
      <c r="B41" s="477" t="s">
        <v>1782</v>
      </c>
      <c r="C41" s="471">
        <v>873842885</v>
      </c>
      <c r="D41" s="471"/>
      <c r="E41" s="471"/>
      <c r="F41" s="471"/>
      <c r="G41" s="472">
        <f t="shared" si="0"/>
        <v>0</v>
      </c>
      <c r="H41" s="473"/>
      <c r="I41" s="474">
        <f t="shared" si="1"/>
        <v>0</v>
      </c>
      <c r="J41" s="475"/>
      <c r="K41" s="475"/>
      <c r="L41" s="476"/>
    </row>
    <row r="42" spans="1:12" ht="20.25" customHeight="1" x14ac:dyDescent="0.25">
      <c r="A42" s="469">
        <v>1655</v>
      </c>
      <c r="B42" s="477" t="s">
        <v>921</v>
      </c>
      <c r="C42" s="471">
        <v>2159364527</v>
      </c>
      <c r="D42" s="471"/>
      <c r="E42" s="471"/>
      <c r="F42" s="471"/>
      <c r="G42" s="472">
        <f t="shared" si="0"/>
        <v>0</v>
      </c>
      <c r="H42" s="473"/>
      <c r="I42" s="474">
        <f t="shared" si="1"/>
        <v>0</v>
      </c>
      <c r="J42" s="475"/>
      <c r="K42" s="475"/>
      <c r="L42" s="476"/>
    </row>
    <row r="43" spans="1:12" ht="20.25" customHeight="1" x14ac:dyDescent="0.25">
      <c r="A43" s="469">
        <v>1660</v>
      </c>
      <c r="B43" s="477" t="s">
        <v>922</v>
      </c>
      <c r="C43" s="471">
        <v>14775626</v>
      </c>
      <c r="D43" s="471"/>
      <c r="E43" s="471"/>
      <c r="F43" s="471"/>
      <c r="G43" s="472">
        <f t="shared" si="0"/>
        <v>0</v>
      </c>
      <c r="H43" s="473"/>
      <c r="I43" s="474">
        <f t="shared" si="1"/>
        <v>0</v>
      </c>
      <c r="J43" s="475"/>
      <c r="K43" s="475"/>
      <c r="L43" s="476" t="s">
        <v>919</v>
      </c>
    </row>
    <row r="44" spans="1:12" ht="20.25" customHeight="1" x14ac:dyDescent="0.25">
      <c r="A44" s="469">
        <v>1665</v>
      </c>
      <c r="B44" s="477" t="s">
        <v>923</v>
      </c>
      <c r="C44" s="471">
        <v>2983554281</v>
      </c>
      <c r="D44" s="471"/>
      <c r="E44" s="471"/>
      <c r="F44" s="471"/>
      <c r="G44" s="472">
        <f t="shared" si="0"/>
        <v>0</v>
      </c>
      <c r="H44" s="473"/>
      <c r="I44" s="474">
        <f t="shared" si="1"/>
        <v>0</v>
      </c>
      <c r="J44" s="475"/>
      <c r="K44" s="475"/>
      <c r="L44" s="476"/>
    </row>
    <row r="45" spans="1:12" ht="20.25" customHeight="1" x14ac:dyDescent="0.25">
      <c r="A45" s="469">
        <v>1670</v>
      </c>
      <c r="B45" s="477" t="s">
        <v>1793</v>
      </c>
      <c r="C45" s="471">
        <v>21013404288</v>
      </c>
      <c r="D45" s="471"/>
      <c r="E45" s="471"/>
      <c r="F45" s="471"/>
      <c r="G45" s="472">
        <f t="shared" si="0"/>
        <v>0</v>
      </c>
      <c r="H45" s="473"/>
      <c r="I45" s="474">
        <f t="shared" si="1"/>
        <v>0</v>
      </c>
      <c r="J45" s="475"/>
      <c r="K45" s="475"/>
      <c r="L45" s="476"/>
    </row>
    <row r="46" spans="1:12" ht="20.25" customHeight="1" x14ac:dyDescent="0.25">
      <c r="A46" s="469">
        <v>1675</v>
      </c>
      <c r="B46" s="477" t="s">
        <v>1784</v>
      </c>
      <c r="C46" s="471">
        <v>2861184669</v>
      </c>
      <c r="D46" s="471"/>
      <c r="E46" s="471"/>
      <c r="F46" s="471"/>
      <c r="G46" s="472">
        <f t="shared" si="0"/>
        <v>0</v>
      </c>
      <c r="H46" s="473"/>
      <c r="I46" s="474">
        <f t="shared" si="1"/>
        <v>0</v>
      </c>
      <c r="J46" s="475"/>
      <c r="K46" s="475"/>
      <c r="L46" s="476"/>
    </row>
    <row r="47" spans="1:12" ht="20.25" customHeight="1" x14ac:dyDescent="0.25">
      <c r="A47" s="469">
        <v>1680</v>
      </c>
      <c r="B47" s="477" t="s">
        <v>1794</v>
      </c>
      <c r="C47" s="471">
        <v>100357270</v>
      </c>
      <c r="D47" s="471"/>
      <c r="E47" s="471"/>
      <c r="F47" s="471"/>
      <c r="G47" s="472">
        <f t="shared" si="0"/>
        <v>0</v>
      </c>
      <c r="H47" s="473"/>
      <c r="I47" s="474">
        <f t="shared" si="1"/>
        <v>0</v>
      </c>
      <c r="J47" s="475"/>
      <c r="K47" s="475"/>
      <c r="L47" s="476"/>
    </row>
    <row r="48" spans="1:12" ht="20.25" customHeight="1" x14ac:dyDescent="0.25">
      <c r="A48" s="469">
        <v>1685</v>
      </c>
      <c r="B48" s="477" t="s">
        <v>1809</v>
      </c>
      <c r="C48" s="471">
        <v>-28729866660</v>
      </c>
      <c r="D48" s="471"/>
      <c r="E48" s="471"/>
      <c r="F48" s="471"/>
      <c r="G48" s="472">
        <f t="shared" si="0"/>
        <v>0</v>
      </c>
      <c r="H48" s="473"/>
      <c r="I48" s="474">
        <f t="shared" si="1"/>
        <v>0</v>
      </c>
      <c r="J48" s="475"/>
      <c r="K48" s="475"/>
      <c r="L48" s="476"/>
    </row>
    <row r="49" spans="1:12" ht="20.25" customHeight="1" x14ac:dyDescent="0.25">
      <c r="A49" s="469">
        <v>1695</v>
      </c>
      <c r="B49" s="477" t="s">
        <v>1795</v>
      </c>
      <c r="C49" s="471">
        <v>-1576313006</v>
      </c>
      <c r="D49" s="471"/>
      <c r="E49" s="471"/>
      <c r="F49" s="471"/>
      <c r="G49" s="472">
        <f t="shared" si="0"/>
        <v>0</v>
      </c>
      <c r="H49" s="473"/>
      <c r="I49" s="474">
        <f t="shared" si="1"/>
        <v>0</v>
      </c>
      <c r="J49" s="475"/>
      <c r="K49" s="475"/>
      <c r="L49" s="476"/>
    </row>
    <row r="50" spans="1:12" ht="20.25" customHeight="1" x14ac:dyDescent="0.25">
      <c r="A50" s="469">
        <v>1705</v>
      </c>
      <c r="B50" s="477" t="s">
        <v>1785</v>
      </c>
      <c r="C50" s="471">
        <v>5287286580229</v>
      </c>
      <c r="D50" s="471">
        <v>5287286580229</v>
      </c>
      <c r="E50" s="471"/>
      <c r="F50" s="471"/>
      <c r="G50" s="472">
        <f t="shared" si="0"/>
        <v>0</v>
      </c>
      <c r="H50" s="473"/>
      <c r="I50" s="474">
        <f t="shared" si="1"/>
        <v>0</v>
      </c>
      <c r="J50" s="475"/>
      <c r="K50" s="475"/>
      <c r="L50" s="476"/>
    </row>
    <row r="51" spans="1:12" ht="20.25" customHeight="1" x14ac:dyDescent="0.25">
      <c r="A51" s="469">
        <v>1710</v>
      </c>
      <c r="B51" s="477" t="s">
        <v>1786</v>
      </c>
      <c r="C51" s="471">
        <v>187255276490</v>
      </c>
      <c r="D51" s="471">
        <v>187255276490</v>
      </c>
      <c r="E51" s="471"/>
      <c r="F51" s="471"/>
      <c r="G51" s="472">
        <f t="shared" si="0"/>
        <v>0</v>
      </c>
      <c r="H51" s="473"/>
      <c r="I51" s="474">
        <f t="shared" si="1"/>
        <v>0</v>
      </c>
      <c r="J51" s="475"/>
      <c r="K51" s="475"/>
      <c r="L51" s="476"/>
    </row>
    <row r="52" spans="1:12" ht="20.25" customHeight="1" x14ac:dyDescent="0.25">
      <c r="A52" s="469">
        <v>1785</v>
      </c>
      <c r="B52" s="477" t="s">
        <v>1796</v>
      </c>
      <c r="C52" s="471">
        <v>-5684721118148</v>
      </c>
      <c r="D52" s="471">
        <v>-5684721118148</v>
      </c>
      <c r="E52" s="471"/>
      <c r="F52" s="471"/>
      <c r="G52" s="472">
        <f t="shared" si="0"/>
        <v>0</v>
      </c>
      <c r="H52" s="473"/>
      <c r="I52" s="474">
        <f t="shared" si="1"/>
        <v>0</v>
      </c>
      <c r="J52" s="475"/>
      <c r="K52" s="475"/>
      <c r="L52" s="476"/>
    </row>
    <row r="53" spans="1:12" ht="20.25" customHeight="1" x14ac:dyDescent="0.25">
      <c r="A53" s="469">
        <v>1902</v>
      </c>
      <c r="B53" s="477" t="s">
        <v>1787</v>
      </c>
      <c r="C53" s="471">
        <v>899670410</v>
      </c>
      <c r="D53" s="471"/>
      <c r="E53" s="471"/>
      <c r="F53" s="471"/>
      <c r="G53" s="472">
        <f t="shared" si="0"/>
        <v>0</v>
      </c>
      <c r="H53" s="473"/>
      <c r="I53" s="474">
        <f t="shared" si="1"/>
        <v>0</v>
      </c>
      <c r="J53" s="475"/>
      <c r="K53" s="475"/>
      <c r="L53" s="476"/>
    </row>
    <row r="54" spans="1:12" ht="20.25" customHeight="1" x14ac:dyDescent="0.25">
      <c r="A54" s="469">
        <v>1905</v>
      </c>
      <c r="B54" s="477" t="s">
        <v>924</v>
      </c>
      <c r="C54" s="471">
        <v>0</v>
      </c>
      <c r="D54" s="471"/>
      <c r="E54" s="471"/>
      <c r="F54" s="471"/>
      <c r="G54" s="472">
        <f t="shared" si="0"/>
        <v>0</v>
      </c>
      <c r="H54" s="473"/>
      <c r="I54" s="474">
        <f t="shared" si="1"/>
        <v>0</v>
      </c>
      <c r="J54" s="475"/>
      <c r="K54" s="475"/>
      <c r="L54" s="476"/>
    </row>
    <row r="55" spans="1:12" ht="20.25" customHeight="1" x14ac:dyDescent="0.25">
      <c r="A55" s="469">
        <v>1906</v>
      </c>
      <c r="B55" s="477" t="s">
        <v>1788</v>
      </c>
      <c r="C55" s="471">
        <v>0</v>
      </c>
      <c r="D55" s="471"/>
      <c r="E55" s="471"/>
      <c r="F55" s="471"/>
      <c r="G55" s="472">
        <f t="shared" si="0"/>
        <v>0</v>
      </c>
      <c r="H55" s="473"/>
      <c r="I55" s="474">
        <f t="shared" si="1"/>
        <v>0</v>
      </c>
      <c r="J55" s="475"/>
      <c r="K55" s="475"/>
      <c r="L55" s="476"/>
    </row>
    <row r="56" spans="1:12" ht="20.25" customHeight="1" x14ac:dyDescent="0.25">
      <c r="A56" s="469">
        <v>1907</v>
      </c>
      <c r="B56" s="477" t="s">
        <v>1797</v>
      </c>
      <c r="C56" s="471">
        <v>31679447</v>
      </c>
      <c r="D56" s="471"/>
      <c r="E56" s="471"/>
      <c r="F56" s="471"/>
      <c r="G56" s="472">
        <f t="shared" si="0"/>
        <v>0</v>
      </c>
      <c r="H56" s="473"/>
      <c r="I56" s="474">
        <f t="shared" si="1"/>
        <v>0</v>
      </c>
      <c r="J56" s="475"/>
      <c r="K56" s="475"/>
      <c r="L56" s="476"/>
    </row>
    <row r="57" spans="1:12" ht="20.25" customHeight="1" x14ac:dyDescent="0.25">
      <c r="A57" s="469">
        <v>1908</v>
      </c>
      <c r="B57" s="477" t="s">
        <v>1798</v>
      </c>
      <c r="C57" s="471">
        <v>1294505324890</v>
      </c>
      <c r="D57" s="471">
        <v>1294505324890</v>
      </c>
      <c r="E57" s="471"/>
      <c r="F57" s="471"/>
      <c r="G57" s="472">
        <f t="shared" si="0"/>
        <v>0</v>
      </c>
      <c r="H57" s="473"/>
      <c r="I57" s="474">
        <f t="shared" si="1"/>
        <v>0</v>
      </c>
      <c r="J57" s="475"/>
      <c r="K57" s="475"/>
      <c r="L57" s="476"/>
    </row>
    <row r="58" spans="1:12" ht="20.25" customHeight="1" x14ac:dyDescent="0.25">
      <c r="A58" s="469">
        <v>1909</v>
      </c>
      <c r="B58" s="477" t="s">
        <v>1789</v>
      </c>
      <c r="C58" s="471">
        <v>1039649688</v>
      </c>
      <c r="D58" s="471"/>
      <c r="E58" s="471"/>
      <c r="F58" s="471"/>
      <c r="G58" s="472">
        <f t="shared" si="0"/>
        <v>0</v>
      </c>
      <c r="H58" s="473"/>
      <c r="I58" s="474">
        <f t="shared" si="1"/>
        <v>0</v>
      </c>
      <c r="J58" s="475"/>
      <c r="K58" s="475"/>
      <c r="L58" s="476"/>
    </row>
    <row r="59" spans="1:12" ht="20.25" customHeight="1" x14ac:dyDescent="0.25">
      <c r="A59" s="469">
        <v>1970</v>
      </c>
      <c r="B59" s="477" t="s">
        <v>1790</v>
      </c>
      <c r="C59" s="471">
        <v>24111493548</v>
      </c>
      <c r="D59" s="471"/>
      <c r="E59" s="471"/>
      <c r="F59" s="471"/>
      <c r="G59" s="472">
        <f t="shared" si="0"/>
        <v>0</v>
      </c>
      <c r="H59" s="473"/>
      <c r="I59" s="474">
        <f t="shared" si="1"/>
        <v>0</v>
      </c>
      <c r="J59" s="475"/>
      <c r="K59" s="475"/>
      <c r="L59" s="476"/>
    </row>
    <row r="60" spans="1:12" ht="20.25" customHeight="1" x14ac:dyDescent="0.25">
      <c r="A60" s="469">
        <v>1975</v>
      </c>
      <c r="B60" s="477" t="s">
        <v>1791</v>
      </c>
      <c r="C60" s="471">
        <v>-6170109053</v>
      </c>
      <c r="D60" s="471"/>
      <c r="E60" s="471"/>
      <c r="F60" s="471"/>
      <c r="G60" s="472">
        <f t="shared" si="0"/>
        <v>0</v>
      </c>
      <c r="H60" s="473"/>
      <c r="I60" s="474">
        <f t="shared" si="1"/>
        <v>0</v>
      </c>
      <c r="J60" s="475"/>
      <c r="K60" s="475"/>
      <c r="L60" s="476"/>
    </row>
    <row r="61" spans="1:12" ht="20.25" customHeight="1" x14ac:dyDescent="0.25">
      <c r="A61" s="469">
        <v>1976</v>
      </c>
      <c r="B61" s="477" t="s">
        <v>1792</v>
      </c>
      <c r="C61" s="471">
        <v>-108842941</v>
      </c>
      <c r="D61" s="471"/>
      <c r="E61" s="471"/>
      <c r="F61" s="471"/>
      <c r="G61" s="472">
        <f t="shared" si="0"/>
        <v>0</v>
      </c>
      <c r="H61" s="473"/>
      <c r="I61" s="474">
        <f t="shared" si="1"/>
        <v>0</v>
      </c>
      <c r="J61" s="475"/>
      <c r="K61" s="475"/>
      <c r="L61" s="476"/>
    </row>
    <row r="62" spans="1:12" ht="20.25" customHeight="1" x14ac:dyDescent="0.25">
      <c r="A62" s="469">
        <v>1986</v>
      </c>
      <c r="B62" s="477" t="s">
        <v>1810</v>
      </c>
      <c r="C62" s="471">
        <v>90962075020</v>
      </c>
      <c r="D62" s="471"/>
      <c r="E62" s="471"/>
      <c r="F62" s="471"/>
      <c r="G62" s="472">
        <f t="shared" si="0"/>
        <v>0</v>
      </c>
      <c r="H62" s="473"/>
      <c r="I62" s="474">
        <f t="shared" si="1"/>
        <v>0</v>
      </c>
      <c r="J62" s="475"/>
      <c r="K62" s="475"/>
      <c r="L62" s="476"/>
    </row>
    <row r="63" spans="1:12" ht="20.25" customHeight="1" x14ac:dyDescent="0.25">
      <c r="A63" s="1572"/>
      <c r="B63" s="470"/>
      <c r="C63" s="471"/>
      <c r="D63" s="471"/>
      <c r="E63" s="471"/>
      <c r="F63" s="471"/>
      <c r="G63" s="472">
        <f t="shared" si="0"/>
        <v>0</v>
      </c>
      <c r="H63" s="473"/>
      <c r="I63" s="474">
        <f t="shared" si="1"/>
        <v>0</v>
      </c>
      <c r="J63" s="475"/>
      <c r="K63" s="475"/>
      <c r="L63" s="476"/>
    </row>
    <row r="64" spans="1:12" ht="20.25" customHeight="1" x14ac:dyDescent="0.25">
      <c r="A64" s="1572"/>
      <c r="B64" s="470"/>
      <c r="C64" s="471"/>
      <c r="D64" s="471"/>
      <c r="E64" s="471"/>
      <c r="F64" s="471"/>
      <c r="G64" s="472">
        <f t="shared" si="0"/>
        <v>0</v>
      </c>
      <c r="H64" s="473"/>
      <c r="I64" s="474">
        <f t="shared" si="1"/>
        <v>0</v>
      </c>
      <c r="J64" s="475"/>
      <c r="K64" s="475"/>
      <c r="L64" s="476"/>
    </row>
    <row r="65" spans="1:12" ht="20.25" customHeight="1" x14ac:dyDescent="0.25">
      <c r="A65" s="469"/>
      <c r="B65" s="470"/>
      <c r="C65" s="471"/>
      <c r="D65" s="471"/>
      <c r="E65" s="471"/>
      <c r="F65" s="471"/>
      <c r="G65" s="472">
        <f t="shared" si="0"/>
        <v>0</v>
      </c>
      <c r="H65" s="473"/>
      <c r="I65" s="474">
        <f t="shared" si="1"/>
        <v>0</v>
      </c>
      <c r="J65" s="475"/>
      <c r="K65" s="475"/>
      <c r="L65" s="476"/>
    </row>
    <row r="66" spans="1:12" ht="20.25" customHeight="1" x14ac:dyDescent="0.25">
      <c r="A66" s="469"/>
      <c r="B66" s="470"/>
      <c r="C66" s="471"/>
      <c r="D66" s="471"/>
      <c r="E66" s="471"/>
      <c r="F66" s="471"/>
      <c r="G66" s="472">
        <f t="shared" si="0"/>
        <v>0</v>
      </c>
      <c r="H66" s="473"/>
      <c r="I66" s="474">
        <f t="shared" si="1"/>
        <v>0</v>
      </c>
      <c r="J66" s="475"/>
      <c r="K66" s="475"/>
      <c r="L66" s="476"/>
    </row>
    <row r="67" spans="1:12" ht="20.25" customHeight="1" x14ac:dyDescent="0.25">
      <c r="A67" s="469"/>
      <c r="B67" s="470"/>
      <c r="C67" s="471"/>
      <c r="D67" s="471"/>
      <c r="E67" s="471"/>
      <c r="F67" s="471"/>
      <c r="G67" s="472">
        <f t="shared" si="0"/>
        <v>0</v>
      </c>
      <c r="H67" s="473"/>
      <c r="I67" s="474">
        <f t="shared" si="1"/>
        <v>0</v>
      </c>
      <c r="J67" s="475"/>
      <c r="K67" s="475"/>
      <c r="L67" s="476"/>
    </row>
    <row r="68" spans="1:12" ht="20.25" customHeight="1" x14ac:dyDescent="0.25">
      <c r="A68" s="469"/>
      <c r="B68" s="470"/>
      <c r="C68" s="471"/>
      <c r="D68" s="471"/>
      <c r="E68" s="471"/>
      <c r="F68" s="471"/>
      <c r="G68" s="472">
        <f t="shared" si="0"/>
        <v>0</v>
      </c>
      <c r="H68" s="473"/>
      <c r="I68" s="474">
        <f t="shared" si="1"/>
        <v>0</v>
      </c>
      <c r="J68" s="475"/>
      <c r="K68" s="475"/>
      <c r="L68" s="476" t="s">
        <v>925</v>
      </c>
    </row>
    <row r="69" spans="1:12" ht="20.25" customHeight="1" x14ac:dyDescent="0.25">
      <c r="A69" s="469"/>
      <c r="B69" s="477"/>
      <c r="C69" s="471"/>
      <c r="D69" s="471"/>
      <c r="E69" s="471"/>
      <c r="F69" s="471"/>
      <c r="G69" s="472">
        <f t="shared" si="0"/>
        <v>0</v>
      </c>
      <c r="H69" s="473"/>
      <c r="I69" s="474">
        <f t="shared" si="1"/>
        <v>0</v>
      </c>
      <c r="J69" s="475"/>
      <c r="K69" s="475"/>
      <c r="L69" s="476"/>
    </row>
    <row r="70" spans="1:12" ht="27" customHeight="1" x14ac:dyDescent="0.25">
      <c r="A70" s="469"/>
      <c r="B70" s="477"/>
      <c r="C70" s="478"/>
      <c r="D70" s="471"/>
      <c r="E70" s="471"/>
      <c r="F70" s="471"/>
      <c r="G70" s="472">
        <f t="shared" si="0"/>
        <v>0</v>
      </c>
      <c r="H70" s="473"/>
      <c r="I70" s="474">
        <f t="shared" si="1"/>
        <v>0</v>
      </c>
      <c r="J70" s="475"/>
      <c r="K70" s="475"/>
      <c r="L70" s="476"/>
    </row>
    <row r="71" spans="1:12" ht="27" customHeight="1" x14ac:dyDescent="0.25">
      <c r="A71" s="469"/>
      <c r="B71" s="477"/>
      <c r="C71" s="478"/>
      <c r="D71" s="471"/>
      <c r="E71" s="471"/>
      <c r="F71" s="471"/>
      <c r="G71" s="472">
        <f t="shared" si="0"/>
        <v>0</v>
      </c>
      <c r="H71" s="473"/>
      <c r="I71" s="474">
        <f t="shared" si="1"/>
        <v>0</v>
      </c>
      <c r="J71" s="475" t="s">
        <v>926</v>
      </c>
      <c r="K71" s="475"/>
      <c r="L71" s="476" t="s">
        <v>927</v>
      </c>
    </row>
    <row r="72" spans="1:12" ht="27" customHeight="1" x14ac:dyDescent="0.25">
      <c r="A72" s="469"/>
      <c r="B72" s="477"/>
      <c r="C72" s="471"/>
      <c r="D72" s="471"/>
      <c r="E72" s="471"/>
      <c r="F72" s="471"/>
      <c r="G72" s="472">
        <f t="shared" si="0"/>
        <v>0</v>
      </c>
      <c r="H72" s="473"/>
      <c r="I72" s="474">
        <f t="shared" si="1"/>
        <v>0</v>
      </c>
      <c r="J72" s="475"/>
      <c r="K72" s="475"/>
      <c r="L72" s="476"/>
    </row>
    <row r="73" spans="1:12" ht="18" customHeight="1" x14ac:dyDescent="0.25">
      <c r="A73" s="469"/>
      <c r="B73" s="477"/>
      <c r="C73" s="471"/>
      <c r="D73" s="471"/>
      <c r="E73" s="471"/>
      <c r="F73" s="471"/>
      <c r="G73" s="472">
        <f t="shared" si="0"/>
        <v>0</v>
      </c>
      <c r="H73" s="473"/>
      <c r="I73" s="474">
        <f t="shared" si="1"/>
        <v>0</v>
      </c>
      <c r="J73" s="475"/>
      <c r="K73" s="475"/>
      <c r="L73" s="476"/>
    </row>
    <row r="74" spans="1:12" ht="18" customHeight="1" x14ac:dyDescent="0.25">
      <c r="A74" s="469"/>
      <c r="B74" s="477"/>
      <c r="C74" s="471"/>
      <c r="D74" s="471"/>
      <c r="E74" s="471"/>
      <c r="F74" s="471"/>
      <c r="G74" s="472">
        <f t="shared" si="0"/>
        <v>0</v>
      </c>
      <c r="H74" s="473"/>
      <c r="I74" s="474">
        <f t="shared" si="1"/>
        <v>0</v>
      </c>
      <c r="J74" s="475"/>
      <c r="K74" s="475"/>
      <c r="L74" s="476"/>
    </row>
    <row r="75" spans="1:12" ht="18" customHeight="1" x14ac:dyDescent="0.25">
      <c r="A75" s="469"/>
      <c r="B75" s="470"/>
      <c r="C75" s="471"/>
      <c r="D75" s="471"/>
      <c r="E75" s="471"/>
      <c r="F75" s="471"/>
      <c r="G75" s="472">
        <f t="shared" si="0"/>
        <v>0</v>
      </c>
      <c r="H75" s="473"/>
      <c r="I75" s="474">
        <f t="shared" si="1"/>
        <v>0</v>
      </c>
      <c r="J75" s="475" t="s">
        <v>928</v>
      </c>
      <c r="K75" s="475"/>
      <c r="L75" s="476"/>
    </row>
    <row r="76" spans="1:12" ht="18" customHeight="1" x14ac:dyDescent="0.25">
      <c r="A76" s="469"/>
      <c r="B76" s="477"/>
      <c r="C76" s="471"/>
      <c r="D76" s="471"/>
      <c r="E76" s="471"/>
      <c r="F76" s="471"/>
      <c r="G76" s="472">
        <f t="shared" si="0"/>
        <v>0</v>
      </c>
      <c r="H76" s="473"/>
      <c r="I76" s="474">
        <f t="shared" si="1"/>
        <v>0</v>
      </c>
      <c r="J76" s="475"/>
      <c r="K76" s="475"/>
      <c r="L76" s="476"/>
    </row>
    <row r="77" spans="1:12" ht="18" customHeight="1" x14ac:dyDescent="0.25">
      <c r="A77" s="469"/>
      <c r="B77" s="477"/>
      <c r="C77" s="471"/>
      <c r="D77" s="471"/>
      <c r="E77" s="471"/>
      <c r="F77" s="471"/>
      <c r="G77" s="472">
        <f t="shared" si="0"/>
        <v>0</v>
      </c>
      <c r="H77" s="473"/>
      <c r="I77" s="474">
        <f t="shared" si="1"/>
        <v>0</v>
      </c>
      <c r="J77" s="475"/>
      <c r="K77" s="475"/>
      <c r="L77" s="476"/>
    </row>
    <row r="78" spans="1:12" ht="18" customHeight="1" x14ac:dyDescent="0.25">
      <c r="A78" s="469"/>
      <c r="B78" s="477"/>
      <c r="C78" s="471"/>
      <c r="D78" s="471"/>
      <c r="E78" s="471"/>
      <c r="F78" s="471"/>
      <c r="G78" s="472">
        <f t="shared" si="0"/>
        <v>0</v>
      </c>
      <c r="H78" s="473"/>
      <c r="I78" s="474">
        <f t="shared" si="1"/>
        <v>0</v>
      </c>
      <c r="J78" s="475"/>
      <c r="K78" s="475"/>
      <c r="L78" s="476"/>
    </row>
    <row r="79" spans="1:12" x14ac:dyDescent="0.25">
      <c r="A79" s="479"/>
      <c r="B79" s="480" t="s">
        <v>929</v>
      </c>
      <c r="C79" s="481">
        <f t="shared" ref="C79:I79" si="2">SUM(C24:C78)</f>
        <v>1592844995323</v>
      </c>
      <c r="D79" s="481">
        <f t="shared" si="2"/>
        <v>1255931215395</v>
      </c>
      <c r="E79" s="481">
        <f t="shared" si="2"/>
        <v>0</v>
      </c>
      <c r="F79" s="481">
        <f t="shared" si="2"/>
        <v>0</v>
      </c>
      <c r="G79" s="482">
        <f t="shared" si="2"/>
        <v>0</v>
      </c>
      <c r="H79" s="483">
        <f t="shared" si="2"/>
        <v>0</v>
      </c>
      <c r="I79" s="483">
        <f t="shared" si="2"/>
        <v>0</v>
      </c>
      <c r="J79" s="483"/>
      <c r="K79" s="483"/>
      <c r="L79" s="476"/>
    </row>
    <row r="80" spans="1:12" ht="15.75" thickBot="1" x14ac:dyDescent="0.3">
      <c r="A80" s="479"/>
      <c r="B80" s="484" t="s">
        <v>930</v>
      </c>
      <c r="C80" s="485"/>
      <c r="D80" s="486">
        <f>IF(D79&lt;=0,"",(D79/C79)*100)</f>
        <v>78.848300938429986</v>
      </c>
      <c r="E80" s="487"/>
      <c r="F80" s="487"/>
      <c r="G80" s="488">
        <f>IFERROR(IF(G79&lt;=0,0,+G79/$C$79),0)</f>
        <v>0</v>
      </c>
      <c r="H80" s="489">
        <f>IFERROR(IF(H79&lt;=0,0,+H79/C79),0)</f>
        <v>0</v>
      </c>
      <c r="I80" s="490">
        <f>IFERROR(IF(I79&lt;=0,0,I79/C79),0)</f>
        <v>0</v>
      </c>
      <c r="J80" s="491"/>
      <c r="K80" s="490"/>
      <c r="L80" s="476"/>
    </row>
    <row r="81" spans="1:12" ht="15.75" thickTop="1" x14ac:dyDescent="0.25">
      <c r="A81" s="479"/>
      <c r="B81" s="492"/>
      <c r="C81" s="492"/>
      <c r="D81" s="493"/>
      <c r="E81" s="492"/>
      <c r="F81" s="492"/>
      <c r="G81" s="494"/>
      <c r="H81" s="495"/>
      <c r="I81" s="496"/>
      <c r="J81" s="496"/>
      <c r="K81" s="496"/>
      <c r="L81" s="497"/>
    </row>
    <row r="82" spans="1:12" ht="93" customHeight="1" x14ac:dyDescent="0.25">
      <c r="A82" s="464" t="s">
        <v>901</v>
      </c>
      <c r="B82" s="498" t="s">
        <v>931</v>
      </c>
      <c r="C82" s="465" t="s">
        <v>903</v>
      </c>
      <c r="D82" s="465" t="s">
        <v>904</v>
      </c>
      <c r="E82" s="465" t="s">
        <v>905</v>
      </c>
      <c r="F82" s="465" t="s">
        <v>906</v>
      </c>
      <c r="G82" s="498" t="s">
        <v>907</v>
      </c>
      <c r="H82" s="498" t="s">
        <v>908</v>
      </c>
      <c r="I82" s="498" t="s">
        <v>909</v>
      </c>
      <c r="J82" s="498" t="s">
        <v>910</v>
      </c>
      <c r="K82" s="498" t="s">
        <v>911</v>
      </c>
      <c r="L82" s="499" t="s">
        <v>912</v>
      </c>
    </row>
    <row r="83" spans="1:12" ht="24" customHeight="1" x14ac:dyDescent="0.25">
      <c r="A83" s="469">
        <v>2401</v>
      </c>
      <c r="B83" s="477" t="s">
        <v>1799</v>
      </c>
      <c r="C83" s="500">
        <v>51765649</v>
      </c>
      <c r="D83" s="500"/>
      <c r="E83" s="500"/>
      <c r="F83" s="471"/>
      <c r="G83" s="472">
        <f t="shared" ref="G83:G101" si="3">+E83+F83</f>
        <v>0</v>
      </c>
      <c r="H83" s="473"/>
      <c r="I83" s="501">
        <f t="shared" ref="I83:I97" si="4">G83+H83</f>
        <v>0</v>
      </c>
      <c r="J83" s="475"/>
      <c r="K83" s="475"/>
      <c r="L83" s="476"/>
    </row>
    <row r="84" spans="1:12" ht="24" customHeight="1" x14ac:dyDescent="0.25">
      <c r="A84" s="469">
        <v>2407</v>
      </c>
      <c r="B84" s="477" t="s">
        <v>1800</v>
      </c>
      <c r="C84" s="500">
        <v>8683851651</v>
      </c>
      <c r="D84" s="500"/>
      <c r="E84" s="500"/>
      <c r="F84" s="471"/>
      <c r="G84" s="472">
        <f t="shared" si="3"/>
        <v>0</v>
      </c>
      <c r="H84" s="473"/>
      <c r="I84" s="501">
        <f t="shared" si="4"/>
        <v>0</v>
      </c>
      <c r="J84" s="475"/>
      <c r="K84" s="475"/>
      <c r="L84" s="476"/>
    </row>
    <row r="85" spans="1:12" ht="24" customHeight="1" x14ac:dyDescent="0.25">
      <c r="A85" s="469">
        <v>2424</v>
      </c>
      <c r="B85" s="477" t="s">
        <v>1807</v>
      </c>
      <c r="C85" s="500">
        <v>490375544</v>
      </c>
      <c r="D85" s="500"/>
      <c r="E85" s="500"/>
      <c r="F85" s="471"/>
      <c r="G85" s="472">
        <f t="shared" si="3"/>
        <v>0</v>
      </c>
      <c r="H85" s="473"/>
      <c r="I85" s="501">
        <f t="shared" si="4"/>
        <v>0</v>
      </c>
      <c r="J85" s="475"/>
      <c r="K85" s="475"/>
      <c r="L85" s="476"/>
    </row>
    <row r="86" spans="1:12" ht="24" customHeight="1" x14ac:dyDescent="0.25">
      <c r="A86" s="469">
        <v>2436</v>
      </c>
      <c r="B86" s="477" t="s">
        <v>1801</v>
      </c>
      <c r="C86" s="500">
        <v>11259374076</v>
      </c>
      <c r="D86" s="500"/>
      <c r="E86" s="500"/>
      <c r="F86" s="471"/>
      <c r="G86" s="472">
        <f t="shared" si="3"/>
        <v>0</v>
      </c>
      <c r="H86" s="473"/>
      <c r="I86" s="501">
        <f t="shared" si="4"/>
        <v>0</v>
      </c>
      <c r="J86" s="475"/>
      <c r="K86" s="475"/>
      <c r="L86" s="476"/>
    </row>
    <row r="87" spans="1:12" ht="24" customHeight="1" x14ac:dyDescent="0.25">
      <c r="A87" s="469">
        <v>2440</v>
      </c>
      <c r="B87" s="477" t="s">
        <v>1808</v>
      </c>
      <c r="C87" s="500">
        <v>430775197</v>
      </c>
      <c r="D87" s="500"/>
      <c r="E87" s="500"/>
      <c r="F87" s="471"/>
      <c r="G87" s="472">
        <f t="shared" si="3"/>
        <v>0</v>
      </c>
      <c r="H87" s="473"/>
      <c r="I87" s="501">
        <f t="shared" si="4"/>
        <v>0</v>
      </c>
      <c r="J87" s="475"/>
      <c r="K87" s="475"/>
      <c r="L87" s="476"/>
    </row>
    <row r="88" spans="1:12" ht="24" customHeight="1" x14ac:dyDescent="0.25">
      <c r="A88" s="469">
        <v>2460</v>
      </c>
      <c r="B88" s="477" t="s">
        <v>1802</v>
      </c>
      <c r="C88" s="500">
        <v>53673029076</v>
      </c>
      <c r="D88" s="500"/>
      <c r="E88" s="500"/>
      <c r="F88" s="471"/>
      <c r="G88" s="472">
        <f t="shared" si="3"/>
        <v>0</v>
      </c>
      <c r="H88" s="473"/>
      <c r="I88" s="501">
        <f t="shared" si="4"/>
        <v>0</v>
      </c>
      <c r="J88" s="475"/>
      <c r="K88" s="475"/>
      <c r="L88" s="476"/>
    </row>
    <row r="89" spans="1:12" ht="24" customHeight="1" x14ac:dyDescent="0.25">
      <c r="A89" s="469">
        <v>2490</v>
      </c>
      <c r="B89" s="477" t="s">
        <v>932</v>
      </c>
      <c r="C89" s="500">
        <v>7607587639</v>
      </c>
      <c r="D89" s="500"/>
      <c r="E89" s="500"/>
      <c r="F89" s="471"/>
      <c r="G89" s="472">
        <f t="shared" si="3"/>
        <v>0</v>
      </c>
      <c r="H89" s="473"/>
      <c r="I89" s="501">
        <f t="shared" si="4"/>
        <v>0</v>
      </c>
      <c r="J89" s="475"/>
      <c r="K89" s="475"/>
      <c r="L89" s="476"/>
    </row>
    <row r="90" spans="1:12" ht="24" customHeight="1" x14ac:dyDescent="0.25">
      <c r="A90" s="469">
        <v>2511</v>
      </c>
      <c r="B90" s="477" t="s">
        <v>1803</v>
      </c>
      <c r="C90" s="500">
        <v>22262078907</v>
      </c>
      <c r="D90" s="500"/>
      <c r="E90" s="500"/>
      <c r="F90" s="471"/>
      <c r="G90" s="472">
        <f t="shared" si="3"/>
        <v>0</v>
      </c>
      <c r="H90" s="473"/>
      <c r="I90" s="501">
        <f t="shared" si="4"/>
        <v>0</v>
      </c>
      <c r="J90" s="475"/>
      <c r="K90" s="475"/>
      <c r="L90" s="476"/>
    </row>
    <row r="91" spans="1:12" ht="24" customHeight="1" x14ac:dyDescent="0.25">
      <c r="A91" s="469">
        <v>2512</v>
      </c>
      <c r="B91" s="477" t="s">
        <v>1804</v>
      </c>
      <c r="C91" s="500">
        <v>4400756071</v>
      </c>
      <c r="D91" s="500"/>
      <c r="E91" s="500"/>
      <c r="F91" s="471"/>
      <c r="G91" s="472">
        <f t="shared" si="3"/>
        <v>0</v>
      </c>
      <c r="H91" s="473"/>
      <c r="I91" s="501">
        <f t="shared" si="4"/>
        <v>0</v>
      </c>
      <c r="J91" s="475"/>
      <c r="K91" s="475"/>
      <c r="L91" s="476"/>
    </row>
    <row r="92" spans="1:12" ht="24" customHeight="1" x14ac:dyDescent="0.25">
      <c r="A92" s="469">
        <v>2701</v>
      </c>
      <c r="B92" s="477" t="s">
        <v>933</v>
      </c>
      <c r="C92" s="500">
        <v>61629520497</v>
      </c>
      <c r="D92" s="500"/>
      <c r="E92" s="500"/>
      <c r="F92" s="471"/>
      <c r="G92" s="472">
        <f t="shared" si="3"/>
        <v>0</v>
      </c>
      <c r="H92" s="473"/>
      <c r="I92" s="501">
        <f t="shared" si="4"/>
        <v>0</v>
      </c>
      <c r="J92" s="475"/>
      <c r="K92" s="475"/>
      <c r="L92" s="476"/>
    </row>
    <row r="93" spans="1:12" ht="24" customHeight="1" x14ac:dyDescent="0.25">
      <c r="A93" s="469">
        <v>2901</v>
      </c>
      <c r="B93" s="477" t="s">
        <v>934</v>
      </c>
      <c r="C93" s="500">
        <v>1676078052</v>
      </c>
      <c r="D93" s="500">
        <v>1676078052</v>
      </c>
      <c r="E93" s="500"/>
      <c r="F93" s="471"/>
      <c r="G93" s="472">
        <f t="shared" si="3"/>
        <v>0</v>
      </c>
      <c r="H93" s="473"/>
      <c r="I93" s="501">
        <f t="shared" si="4"/>
        <v>0</v>
      </c>
      <c r="J93" s="475"/>
      <c r="K93" s="475"/>
      <c r="L93" s="476"/>
    </row>
    <row r="94" spans="1:12" ht="24" customHeight="1" x14ac:dyDescent="0.25">
      <c r="A94" s="469">
        <v>2902</v>
      </c>
      <c r="B94" s="477" t="s">
        <v>936</v>
      </c>
      <c r="C94" s="500">
        <v>924845901</v>
      </c>
      <c r="D94" s="500">
        <v>924845901</v>
      </c>
      <c r="E94" s="500"/>
      <c r="F94" s="471"/>
      <c r="G94" s="472">
        <f t="shared" si="3"/>
        <v>0</v>
      </c>
      <c r="H94" s="473"/>
      <c r="I94" s="501">
        <f t="shared" si="4"/>
        <v>0</v>
      </c>
      <c r="J94" s="475"/>
      <c r="K94" s="475"/>
      <c r="L94" s="476"/>
    </row>
    <row r="95" spans="1:12" ht="24" customHeight="1" x14ac:dyDescent="0.25">
      <c r="A95" s="469">
        <v>2903</v>
      </c>
      <c r="B95" s="477" t="s">
        <v>1805</v>
      </c>
      <c r="C95" s="500">
        <v>76450499231</v>
      </c>
      <c r="D95" s="500">
        <v>76450499231</v>
      </c>
      <c r="E95" s="500"/>
      <c r="F95" s="471"/>
      <c r="G95" s="472">
        <f t="shared" si="3"/>
        <v>0</v>
      </c>
      <c r="H95" s="473"/>
      <c r="I95" s="501">
        <f t="shared" si="4"/>
        <v>0</v>
      </c>
      <c r="J95" s="475"/>
      <c r="K95" s="475"/>
      <c r="L95" s="476"/>
    </row>
    <row r="96" spans="1:12" ht="24" customHeight="1" x14ac:dyDescent="0.25">
      <c r="A96" s="469">
        <v>2910</v>
      </c>
      <c r="B96" s="477" t="s">
        <v>939</v>
      </c>
      <c r="C96" s="500">
        <v>2978015091</v>
      </c>
      <c r="D96" s="500">
        <v>2978015091</v>
      </c>
      <c r="E96" s="500"/>
      <c r="F96" s="471"/>
      <c r="G96" s="472">
        <f t="shared" si="3"/>
        <v>0</v>
      </c>
      <c r="H96" s="473"/>
      <c r="I96" s="501">
        <f t="shared" si="4"/>
        <v>0</v>
      </c>
      <c r="J96" s="475"/>
      <c r="K96" s="475"/>
      <c r="L96" s="476"/>
    </row>
    <row r="97" spans="1:12" ht="24" customHeight="1" x14ac:dyDescent="0.25">
      <c r="A97" s="469">
        <v>2990</v>
      </c>
      <c r="B97" s="477" t="s">
        <v>940</v>
      </c>
      <c r="C97" s="500">
        <v>107085703558</v>
      </c>
      <c r="D97" s="500">
        <v>107085703558</v>
      </c>
      <c r="E97" s="500"/>
      <c r="F97" s="471"/>
      <c r="G97" s="472">
        <f t="shared" si="3"/>
        <v>0</v>
      </c>
      <c r="H97" s="473"/>
      <c r="I97" s="501">
        <f t="shared" si="4"/>
        <v>0</v>
      </c>
      <c r="J97" s="475"/>
      <c r="K97" s="475"/>
      <c r="L97" s="476" t="s">
        <v>935</v>
      </c>
    </row>
    <row r="98" spans="1:12" ht="24" customHeight="1" x14ac:dyDescent="0.25">
      <c r="A98" s="469">
        <v>3105</v>
      </c>
      <c r="B98" s="477" t="s">
        <v>941</v>
      </c>
      <c r="C98" s="500">
        <v>943397789911</v>
      </c>
      <c r="D98" s="500"/>
      <c r="E98" s="500"/>
      <c r="F98" s="471"/>
      <c r="G98" s="472">
        <f t="shared" si="3"/>
        <v>0</v>
      </c>
      <c r="H98" s="473"/>
      <c r="I98" s="501">
        <f t="shared" ref="I98:I121" si="5">G98+H98</f>
        <v>0</v>
      </c>
      <c r="J98" s="475"/>
      <c r="K98" s="475"/>
      <c r="L98" s="476"/>
    </row>
    <row r="99" spans="1:12" ht="24" customHeight="1" x14ac:dyDescent="0.25">
      <c r="A99" s="469">
        <v>3109</v>
      </c>
      <c r="B99" s="477" t="s">
        <v>1806</v>
      </c>
      <c r="C99" s="500">
        <v>185603281659</v>
      </c>
      <c r="D99" s="500"/>
      <c r="E99" s="500"/>
      <c r="F99" s="471"/>
      <c r="G99" s="472">
        <f t="shared" si="3"/>
        <v>0</v>
      </c>
      <c r="H99" s="473"/>
      <c r="I99" s="501">
        <f t="shared" si="5"/>
        <v>0</v>
      </c>
      <c r="J99" s="475"/>
      <c r="K99" s="475"/>
      <c r="L99" s="476"/>
    </row>
    <row r="100" spans="1:12" ht="24" customHeight="1" x14ac:dyDescent="0.25">
      <c r="A100" s="469">
        <v>3110</v>
      </c>
      <c r="B100" s="477" t="s">
        <v>942</v>
      </c>
      <c r="C100" s="500">
        <v>104239667613</v>
      </c>
      <c r="D100" s="500"/>
      <c r="E100" s="500"/>
      <c r="F100" s="471"/>
      <c r="G100" s="472">
        <f t="shared" si="3"/>
        <v>0</v>
      </c>
      <c r="H100" s="473"/>
      <c r="I100" s="501">
        <f t="shared" si="5"/>
        <v>0</v>
      </c>
      <c r="J100" s="475" t="s">
        <v>937</v>
      </c>
      <c r="K100" s="475"/>
      <c r="L100" s="476" t="s">
        <v>938</v>
      </c>
    </row>
    <row r="101" spans="1:12" ht="24" customHeight="1" x14ac:dyDescent="0.25">
      <c r="A101" s="469"/>
      <c r="B101" s="477"/>
      <c r="C101" s="500"/>
      <c r="D101" s="500"/>
      <c r="E101" s="500"/>
      <c r="F101" s="471"/>
      <c r="G101" s="472">
        <f t="shared" si="3"/>
        <v>0</v>
      </c>
      <c r="H101" s="473"/>
      <c r="I101" s="501">
        <f t="shared" si="5"/>
        <v>0</v>
      </c>
      <c r="J101" s="475"/>
      <c r="K101" s="475"/>
      <c r="L101" s="476"/>
    </row>
    <row r="102" spans="1:12" ht="24" customHeight="1" x14ac:dyDescent="0.25">
      <c r="A102" s="469"/>
      <c r="B102" s="477"/>
      <c r="C102" s="500"/>
      <c r="D102" s="500"/>
      <c r="E102" s="500"/>
      <c r="F102" s="471"/>
      <c r="G102" s="472">
        <f t="shared" ref="G102:G121" si="6">+E102+F102</f>
        <v>0</v>
      </c>
      <c r="H102" s="473"/>
      <c r="I102" s="501">
        <f t="shared" si="5"/>
        <v>0</v>
      </c>
      <c r="J102" s="475"/>
      <c r="K102" s="475"/>
      <c r="L102" s="476"/>
    </row>
    <row r="103" spans="1:12" ht="24" customHeight="1" x14ac:dyDescent="0.25">
      <c r="A103" s="469"/>
      <c r="B103" s="477"/>
      <c r="C103" s="500"/>
      <c r="D103" s="500"/>
      <c r="E103" s="500"/>
      <c r="F103" s="471"/>
      <c r="G103" s="472">
        <f t="shared" si="6"/>
        <v>0</v>
      </c>
      <c r="H103" s="473"/>
      <c r="I103" s="501">
        <f t="shared" si="5"/>
        <v>0</v>
      </c>
      <c r="J103" s="475"/>
      <c r="K103" s="475"/>
      <c r="L103" s="476"/>
    </row>
    <row r="104" spans="1:12" ht="24" customHeight="1" x14ac:dyDescent="0.25">
      <c r="A104" s="469"/>
      <c r="B104" s="477"/>
      <c r="C104" s="500"/>
      <c r="D104" s="500"/>
      <c r="E104" s="500"/>
      <c r="F104" s="471"/>
      <c r="G104" s="472">
        <f t="shared" si="6"/>
        <v>0</v>
      </c>
      <c r="H104" s="473"/>
      <c r="I104" s="501">
        <f t="shared" si="5"/>
        <v>0</v>
      </c>
      <c r="J104" s="475"/>
      <c r="K104" s="475"/>
      <c r="L104" s="476"/>
    </row>
    <row r="105" spans="1:12" ht="24" customHeight="1" x14ac:dyDescent="0.25">
      <c r="A105" s="469"/>
      <c r="B105" s="477"/>
      <c r="C105" s="500"/>
      <c r="D105" s="500"/>
      <c r="E105" s="500"/>
      <c r="F105" s="471"/>
      <c r="G105" s="472">
        <f t="shared" si="6"/>
        <v>0</v>
      </c>
      <c r="H105" s="473"/>
      <c r="I105" s="501">
        <f t="shared" si="5"/>
        <v>0</v>
      </c>
      <c r="J105" s="475"/>
      <c r="K105" s="475"/>
      <c r="L105" s="476"/>
    </row>
    <row r="106" spans="1:12" ht="24" customHeight="1" x14ac:dyDescent="0.25">
      <c r="A106" s="469"/>
      <c r="B106" s="477"/>
      <c r="C106" s="500"/>
      <c r="D106" s="500"/>
      <c r="E106" s="500"/>
      <c r="F106" s="471"/>
      <c r="G106" s="472">
        <f t="shared" si="6"/>
        <v>0</v>
      </c>
      <c r="H106" s="473"/>
      <c r="I106" s="501">
        <f t="shared" si="5"/>
        <v>0</v>
      </c>
      <c r="J106" s="475"/>
      <c r="K106" s="475"/>
      <c r="L106" s="476"/>
    </row>
    <row r="107" spans="1:12" ht="24" customHeight="1" x14ac:dyDescent="0.25">
      <c r="A107" s="469"/>
      <c r="B107" s="477"/>
      <c r="C107" s="500"/>
      <c r="D107" s="500"/>
      <c r="E107" s="500"/>
      <c r="F107" s="471"/>
      <c r="G107" s="472">
        <f t="shared" si="6"/>
        <v>0</v>
      </c>
      <c r="H107" s="473"/>
      <c r="I107" s="501">
        <f t="shared" si="5"/>
        <v>0</v>
      </c>
      <c r="J107" s="475"/>
      <c r="K107" s="475"/>
      <c r="L107" s="476"/>
    </row>
    <row r="108" spans="1:12" ht="24" customHeight="1" x14ac:dyDescent="0.25">
      <c r="A108" s="469"/>
      <c r="B108" s="477"/>
      <c r="C108" s="500"/>
      <c r="D108" s="500"/>
      <c r="E108" s="500"/>
      <c r="F108" s="471"/>
      <c r="G108" s="472">
        <f t="shared" si="6"/>
        <v>0</v>
      </c>
      <c r="H108" s="473"/>
      <c r="I108" s="501">
        <f t="shared" si="5"/>
        <v>0</v>
      </c>
      <c r="J108" s="475"/>
      <c r="K108" s="475"/>
      <c r="L108" s="476"/>
    </row>
    <row r="109" spans="1:12" ht="24" customHeight="1" x14ac:dyDescent="0.25">
      <c r="A109" s="469"/>
      <c r="B109" s="477"/>
      <c r="C109" s="500"/>
      <c r="D109" s="500"/>
      <c r="E109" s="500"/>
      <c r="F109" s="471"/>
      <c r="G109" s="472">
        <f t="shared" si="6"/>
        <v>0</v>
      </c>
      <c r="H109" s="473"/>
      <c r="I109" s="501">
        <f t="shared" si="5"/>
        <v>0</v>
      </c>
      <c r="J109" s="475"/>
      <c r="K109" s="475"/>
      <c r="L109" s="476"/>
    </row>
    <row r="110" spans="1:12" ht="24" customHeight="1" x14ac:dyDescent="0.25">
      <c r="A110" s="469"/>
      <c r="B110" s="477"/>
      <c r="C110" s="500"/>
      <c r="D110" s="500"/>
      <c r="E110" s="500"/>
      <c r="F110" s="471"/>
      <c r="G110" s="472">
        <f t="shared" si="6"/>
        <v>0</v>
      </c>
      <c r="H110" s="473"/>
      <c r="I110" s="501">
        <f t="shared" si="5"/>
        <v>0</v>
      </c>
      <c r="J110" s="475"/>
      <c r="K110" s="475"/>
      <c r="L110" s="476"/>
    </row>
    <row r="111" spans="1:12" ht="24" customHeight="1" x14ac:dyDescent="0.25">
      <c r="A111" s="469"/>
      <c r="B111" s="477"/>
      <c r="C111" s="500"/>
      <c r="D111" s="500"/>
      <c r="E111" s="500"/>
      <c r="F111" s="471"/>
      <c r="G111" s="472">
        <f t="shared" si="6"/>
        <v>0</v>
      </c>
      <c r="H111" s="473"/>
      <c r="I111" s="501">
        <f t="shared" si="5"/>
        <v>0</v>
      </c>
      <c r="J111" s="475"/>
      <c r="K111" s="475"/>
      <c r="L111" s="476"/>
    </row>
    <row r="112" spans="1:12" ht="33.75" hidden="1" customHeight="1" x14ac:dyDescent="0.25">
      <c r="A112" s="469"/>
      <c r="B112" s="502"/>
      <c r="C112" s="471"/>
      <c r="D112" s="471"/>
      <c r="E112" s="471"/>
      <c r="F112" s="471"/>
      <c r="G112" s="472">
        <f t="shared" si="6"/>
        <v>0</v>
      </c>
      <c r="H112" s="473"/>
      <c r="I112" s="501">
        <f t="shared" si="5"/>
        <v>0</v>
      </c>
      <c r="J112" s="475"/>
      <c r="K112" s="475"/>
      <c r="L112" s="476"/>
    </row>
    <row r="113" spans="1:12" ht="26.25" hidden="1" customHeight="1" x14ac:dyDescent="0.25">
      <c r="A113" s="469"/>
      <c r="B113" s="502"/>
      <c r="C113" s="471"/>
      <c r="D113" s="501"/>
      <c r="E113" s="471"/>
      <c r="F113" s="471"/>
      <c r="G113" s="472">
        <f t="shared" si="6"/>
        <v>0</v>
      </c>
      <c r="H113" s="473"/>
      <c r="I113" s="501">
        <f t="shared" si="5"/>
        <v>0</v>
      </c>
      <c r="J113" s="475"/>
      <c r="K113" s="475"/>
      <c r="L113" s="476"/>
    </row>
    <row r="114" spans="1:12" ht="36" hidden="1" customHeight="1" x14ac:dyDescent="0.25">
      <c r="A114" s="469"/>
      <c r="B114" s="502"/>
      <c r="C114" s="471"/>
      <c r="D114" s="471"/>
      <c r="E114" s="471"/>
      <c r="F114" s="503"/>
      <c r="G114" s="472">
        <f t="shared" si="6"/>
        <v>0</v>
      </c>
      <c r="H114" s="473"/>
      <c r="I114" s="501">
        <f t="shared" si="5"/>
        <v>0</v>
      </c>
      <c r="J114" s="475"/>
      <c r="K114" s="475"/>
      <c r="L114" s="476"/>
    </row>
    <row r="115" spans="1:12" ht="26.25" hidden="1" customHeight="1" x14ac:dyDescent="0.25">
      <c r="A115" s="469"/>
      <c r="B115" s="502"/>
      <c r="C115" s="471"/>
      <c r="D115" s="471"/>
      <c r="E115" s="471"/>
      <c r="F115" s="471"/>
      <c r="G115" s="472">
        <f t="shared" si="6"/>
        <v>0</v>
      </c>
      <c r="H115" s="473"/>
      <c r="I115" s="501">
        <f t="shared" si="5"/>
        <v>0</v>
      </c>
      <c r="J115" s="475"/>
      <c r="K115" s="475"/>
      <c r="L115" s="476"/>
    </row>
    <row r="116" spans="1:12" ht="33" hidden="1" customHeight="1" x14ac:dyDescent="0.25">
      <c r="A116" s="469"/>
      <c r="B116" s="502"/>
      <c r="C116" s="471"/>
      <c r="D116" s="471"/>
      <c r="E116" s="471"/>
      <c r="F116" s="471"/>
      <c r="G116" s="472">
        <f t="shared" si="6"/>
        <v>0</v>
      </c>
      <c r="H116" s="473"/>
      <c r="I116" s="501">
        <f t="shared" si="5"/>
        <v>0</v>
      </c>
      <c r="J116" s="475"/>
      <c r="K116" s="475"/>
      <c r="L116" s="476"/>
    </row>
    <row r="117" spans="1:12" ht="26.25" hidden="1" customHeight="1" x14ac:dyDescent="0.25">
      <c r="A117" s="469"/>
      <c r="B117" s="502"/>
      <c r="C117" s="471"/>
      <c r="D117" s="471"/>
      <c r="E117" s="471"/>
      <c r="F117" s="471"/>
      <c r="G117" s="472">
        <f t="shared" si="6"/>
        <v>0</v>
      </c>
      <c r="H117" s="473"/>
      <c r="I117" s="501">
        <f t="shared" si="5"/>
        <v>0</v>
      </c>
      <c r="J117" s="475"/>
      <c r="K117" s="475"/>
      <c r="L117" s="476"/>
    </row>
    <row r="118" spans="1:12" ht="26.25" hidden="1" customHeight="1" x14ac:dyDescent="0.25">
      <c r="A118" s="469"/>
      <c r="B118" s="502"/>
      <c r="C118" s="471"/>
      <c r="D118" s="471"/>
      <c r="E118" s="471"/>
      <c r="F118" s="471"/>
      <c r="G118" s="472">
        <f t="shared" si="6"/>
        <v>0</v>
      </c>
      <c r="H118" s="473"/>
      <c r="I118" s="501">
        <f t="shared" si="5"/>
        <v>0</v>
      </c>
      <c r="J118" s="475"/>
      <c r="K118" s="475"/>
      <c r="L118" s="476"/>
    </row>
    <row r="119" spans="1:12" ht="26.25" hidden="1" customHeight="1" x14ac:dyDescent="0.25">
      <c r="A119" s="469"/>
      <c r="B119" s="502"/>
      <c r="C119" s="471"/>
      <c r="D119" s="471"/>
      <c r="E119" s="471"/>
      <c r="F119" s="471"/>
      <c r="G119" s="472">
        <f t="shared" si="6"/>
        <v>0</v>
      </c>
      <c r="H119" s="473"/>
      <c r="I119" s="501">
        <f t="shared" si="5"/>
        <v>0</v>
      </c>
      <c r="J119" s="475"/>
      <c r="K119" s="475"/>
      <c r="L119" s="476"/>
    </row>
    <row r="120" spans="1:12" ht="26.25" hidden="1" customHeight="1" x14ac:dyDescent="0.25">
      <c r="A120" s="469"/>
      <c r="B120" s="502"/>
      <c r="C120" s="471"/>
      <c r="D120" s="471"/>
      <c r="E120" s="471"/>
      <c r="F120" s="471"/>
      <c r="G120" s="472">
        <f t="shared" si="6"/>
        <v>0</v>
      </c>
      <c r="H120" s="473"/>
      <c r="I120" s="501">
        <f t="shared" si="5"/>
        <v>0</v>
      </c>
      <c r="J120" s="475"/>
      <c r="K120" s="475"/>
      <c r="L120" s="476"/>
    </row>
    <row r="121" spans="1:12" ht="14.25" hidden="1" x14ac:dyDescent="0.25">
      <c r="A121" s="469"/>
      <c r="B121" s="502"/>
      <c r="C121" s="471"/>
      <c r="D121" s="471"/>
      <c r="E121" s="471"/>
      <c r="F121" s="471"/>
      <c r="G121" s="472">
        <f t="shared" si="6"/>
        <v>0</v>
      </c>
      <c r="H121" s="473"/>
      <c r="I121" s="501">
        <f t="shared" si="5"/>
        <v>0</v>
      </c>
      <c r="J121" s="475"/>
      <c r="K121" s="475"/>
      <c r="L121" s="476"/>
    </row>
    <row r="122" spans="1:12" x14ac:dyDescent="0.25">
      <c r="A122" s="504"/>
      <c r="B122" s="505" t="s">
        <v>943</v>
      </c>
      <c r="C122" s="481">
        <f t="shared" ref="C122:I122" si="7">SUM(C83:C121)</f>
        <v>1592844995323</v>
      </c>
      <c r="D122" s="481">
        <f t="shared" si="7"/>
        <v>189115141833</v>
      </c>
      <c r="E122" s="481">
        <f t="shared" si="7"/>
        <v>0</v>
      </c>
      <c r="F122" s="481">
        <f t="shared" si="7"/>
        <v>0</v>
      </c>
      <c r="G122" s="481">
        <f>SUM(G83:G121)</f>
        <v>0</v>
      </c>
      <c r="H122" s="506">
        <f t="shared" si="7"/>
        <v>0</v>
      </c>
      <c r="I122" s="506">
        <f t="shared" si="7"/>
        <v>0</v>
      </c>
      <c r="J122" s="483"/>
      <c r="K122" s="481"/>
      <c r="L122" s="507"/>
    </row>
    <row r="123" spans="1:12" ht="15.75" thickBot="1" x14ac:dyDescent="0.3">
      <c r="A123" s="2038" t="s">
        <v>944</v>
      </c>
      <c r="B123" s="2039"/>
      <c r="C123" s="508"/>
      <c r="D123" s="509">
        <f>IFERROR(IF(D122&lt;=0,0,(D122/C122)*100),"")</f>
        <v>11.872790032193365</v>
      </c>
      <c r="E123" s="510"/>
      <c r="F123" s="510"/>
      <c r="G123" s="488">
        <f>IFERROR(IF(G122&lt;=0,0,G122/C122),0)</f>
        <v>0</v>
      </c>
      <c r="H123" s="511">
        <f>IFERROR(IF(H122&lt;=0,0,H122/C122),0)</f>
        <v>0</v>
      </c>
      <c r="I123" s="512">
        <f>IFERROR(IF(I122&lt;=0,0,I122/C122),0)</f>
        <v>0</v>
      </c>
      <c r="J123" s="513"/>
      <c r="K123" s="491"/>
      <c r="L123" s="507"/>
    </row>
    <row r="124" spans="1:12" ht="16.5" customHeight="1" thickTop="1" thickBot="1" x14ac:dyDescent="0.3">
      <c r="A124" s="2015" t="s">
        <v>945</v>
      </c>
      <c r="B124" s="2016"/>
      <c r="C124" s="514"/>
      <c r="D124" s="515"/>
      <c r="E124" s="514"/>
      <c r="F124" s="514"/>
      <c r="G124" s="516">
        <f>IF(G123&gt;=G80,G123,G80)</f>
        <v>0</v>
      </c>
      <c r="H124" s="517">
        <f>IF(H123&gt;=H80,H123,H80)</f>
        <v>0</v>
      </c>
      <c r="I124" s="517">
        <f>IFERROR(G124+H124,"")</f>
        <v>0</v>
      </c>
      <c r="J124" s="518"/>
      <c r="K124" s="491"/>
      <c r="L124" s="519"/>
    </row>
    <row r="125" spans="1:12" ht="15.75" customHeight="1" thickTop="1" thickBot="1" x14ac:dyDescent="0.3">
      <c r="A125" s="2015" t="s">
        <v>946</v>
      </c>
      <c r="B125" s="2016"/>
      <c r="C125" s="520"/>
      <c r="D125" s="520"/>
      <c r="E125" s="520"/>
      <c r="F125" s="520"/>
      <c r="G125" s="521">
        <f>IF(G122&gt;=G79,G122,G79)</f>
        <v>0</v>
      </c>
      <c r="H125" s="521">
        <f>IF(H122&gt;=H79,H122,H79)</f>
        <v>0</v>
      </c>
      <c r="I125" s="506">
        <f>IFERROR(G125+H125,"")</f>
        <v>0</v>
      </c>
      <c r="J125" s="522"/>
      <c r="K125" s="522"/>
      <c r="L125" s="507"/>
    </row>
    <row r="126" spans="1:12" s="445" customFormat="1" ht="15.75" customHeight="1" x14ac:dyDescent="0.25">
      <c r="A126" s="523"/>
      <c r="B126" s="523"/>
      <c r="C126" s="524"/>
      <c r="D126" s="524"/>
      <c r="E126" s="524"/>
      <c r="F126" s="524"/>
      <c r="G126" s="525"/>
      <c r="H126" s="525"/>
      <c r="I126" s="526"/>
      <c r="J126" s="527"/>
      <c r="K126" s="527"/>
      <c r="L126" s="528"/>
    </row>
    <row r="127" spans="1:12" s="445" customFormat="1" ht="237.75" customHeight="1" x14ac:dyDescent="0.25">
      <c r="A127" s="2046" t="s">
        <v>947</v>
      </c>
      <c r="B127" s="2046"/>
      <c r="C127" s="2046"/>
      <c r="D127" s="2046"/>
      <c r="E127" s="2046"/>
      <c r="F127" s="2046"/>
      <c r="G127" s="2046"/>
      <c r="H127" s="2046"/>
      <c r="I127" s="2046"/>
      <c r="J127" s="2046"/>
      <c r="K127" s="2046"/>
      <c r="L127" s="2046"/>
    </row>
    <row r="128" spans="1:12" s="445" customFormat="1" ht="14.25" x14ac:dyDescent="0.25">
      <c r="A128" s="529"/>
      <c r="B128" s="529"/>
      <c r="C128" s="529"/>
      <c r="D128" s="529"/>
      <c r="E128" s="529"/>
      <c r="F128" s="529"/>
      <c r="G128" s="529"/>
      <c r="H128" s="529"/>
      <c r="I128" s="529"/>
      <c r="J128" s="529"/>
      <c r="K128" s="529"/>
      <c r="L128" s="529"/>
    </row>
    <row r="129" spans="1:12" s="445" customFormat="1" ht="295.5" customHeight="1" x14ac:dyDescent="0.25">
      <c r="A129" s="2046" t="s">
        <v>948</v>
      </c>
      <c r="B129" s="2046"/>
      <c r="C129" s="2046"/>
      <c r="D129" s="2046"/>
      <c r="E129" s="2046"/>
      <c r="F129" s="2046"/>
      <c r="G129" s="2046"/>
      <c r="H129" s="2046"/>
      <c r="I129" s="2046"/>
      <c r="J129" s="2046"/>
      <c r="K129" s="2046"/>
      <c r="L129" s="2046"/>
    </row>
    <row r="130" spans="1:12" s="445" customFormat="1" ht="14.25" customHeight="1" x14ac:dyDescent="0.25">
      <c r="A130" s="523"/>
      <c r="B130" s="523"/>
      <c r="C130" s="524"/>
      <c r="D130" s="524"/>
      <c r="E130" s="524"/>
      <c r="F130" s="524"/>
      <c r="G130" s="525"/>
      <c r="H130" s="525"/>
      <c r="I130" s="526"/>
      <c r="J130" s="527"/>
      <c r="K130" s="527"/>
      <c r="L130" s="528"/>
    </row>
    <row r="131" spans="1:12" ht="6.75" customHeight="1" x14ac:dyDescent="0.25">
      <c r="A131" s="530"/>
      <c r="B131" s="520"/>
      <c r="C131" s="520"/>
      <c r="D131" s="520"/>
      <c r="E131" s="520"/>
      <c r="F131" s="520"/>
      <c r="G131" s="527"/>
      <c r="H131" s="527"/>
      <c r="I131" s="527"/>
      <c r="J131" s="530"/>
      <c r="K131" s="530"/>
      <c r="L131" s="497"/>
    </row>
    <row r="132" spans="1:12" ht="44.25" customHeight="1" x14ac:dyDescent="0.25">
      <c r="A132" s="2047" t="s">
        <v>949</v>
      </c>
      <c r="B132" s="2048"/>
      <c r="C132" s="2048"/>
      <c r="D132" s="2048"/>
      <c r="E132" s="2048"/>
      <c r="F132" s="2049"/>
      <c r="G132" s="2050"/>
      <c r="H132" s="2050"/>
      <c r="I132" s="2050"/>
      <c r="J132" s="2050"/>
      <c r="K132" s="2050"/>
      <c r="L132" s="2051"/>
    </row>
    <row r="133" spans="1:12" ht="46.5" customHeight="1" thickBot="1" x14ac:dyDescent="0.3">
      <c r="A133" s="531" t="s">
        <v>950</v>
      </c>
      <c r="B133" s="531" t="s">
        <v>951</v>
      </c>
      <c r="C133" s="531" t="s">
        <v>952</v>
      </c>
      <c r="D133" s="531" t="s">
        <v>953</v>
      </c>
      <c r="E133" s="531" t="s">
        <v>954</v>
      </c>
      <c r="F133" s="531" t="s">
        <v>955</v>
      </c>
      <c r="G133" s="324"/>
      <c r="H133" s="532"/>
      <c r="I133" s="533"/>
      <c r="J133" s="533"/>
      <c r="K133" s="324"/>
      <c r="L133" s="534"/>
    </row>
    <row r="134" spans="1:12" ht="69" customHeight="1" thickBot="1" x14ac:dyDescent="0.3">
      <c r="A134" s="535" t="s">
        <v>956</v>
      </c>
      <c r="B134" s="536" t="s">
        <v>957</v>
      </c>
      <c r="C134" s="537" t="s">
        <v>958</v>
      </c>
      <c r="D134" s="537" t="s">
        <v>959</v>
      </c>
      <c r="E134" s="538">
        <v>100</v>
      </c>
      <c r="F134" s="539" t="s">
        <v>499</v>
      </c>
      <c r="G134" s="540"/>
      <c r="H134" s="541"/>
      <c r="I134" s="542"/>
      <c r="J134" s="543"/>
      <c r="K134" s="541"/>
      <c r="L134" s="544"/>
    </row>
    <row r="135" spans="1:12" ht="79.5" customHeight="1" thickBot="1" x14ac:dyDescent="0.3">
      <c r="A135" s="535" t="s">
        <v>960</v>
      </c>
      <c r="B135" s="536" t="s">
        <v>961</v>
      </c>
      <c r="C135" s="537" t="s">
        <v>962</v>
      </c>
      <c r="D135" s="537" t="s">
        <v>963</v>
      </c>
      <c r="E135" s="538">
        <v>75</v>
      </c>
      <c r="F135" s="539" t="s">
        <v>499</v>
      </c>
      <c r="H135" s="440"/>
      <c r="I135" s="440"/>
      <c r="L135" s="497"/>
    </row>
    <row r="136" spans="1:12" ht="81.75" customHeight="1" thickBot="1" x14ac:dyDescent="0.3">
      <c r="A136" s="535" t="s">
        <v>964</v>
      </c>
      <c r="B136" s="536" t="s">
        <v>965</v>
      </c>
      <c r="C136" s="545" t="s">
        <v>966</v>
      </c>
      <c r="D136" s="545" t="s">
        <v>967</v>
      </c>
      <c r="E136" s="538">
        <v>0</v>
      </c>
      <c r="F136" s="539" t="s">
        <v>514</v>
      </c>
      <c r="H136" s="440"/>
      <c r="I136" s="440"/>
      <c r="L136" s="497"/>
    </row>
    <row r="137" spans="1:12" ht="84.75" customHeight="1" thickBot="1" x14ac:dyDescent="0.3">
      <c r="A137" s="535" t="s">
        <v>968</v>
      </c>
      <c r="B137" s="546"/>
      <c r="C137" s="545" t="s">
        <v>967</v>
      </c>
      <c r="D137" s="545" t="s">
        <v>967</v>
      </c>
      <c r="E137" s="538">
        <v>0</v>
      </c>
      <c r="F137" s="539" t="s">
        <v>514</v>
      </c>
      <c r="H137" s="440"/>
      <c r="I137" s="440"/>
      <c r="L137" s="497"/>
    </row>
    <row r="138" spans="1:12" ht="24" customHeight="1" x14ac:dyDescent="0.25">
      <c r="A138" s="547"/>
      <c r="B138" s="548"/>
      <c r="C138" s="549"/>
      <c r="D138" s="549"/>
      <c r="E138" s="548"/>
      <c r="F138" s="548"/>
      <c r="H138" s="440"/>
      <c r="I138" s="440"/>
      <c r="L138" s="497"/>
    </row>
    <row r="139" spans="1:12" ht="33.75" customHeight="1" x14ac:dyDescent="0.25">
      <c r="A139" s="2040" t="s">
        <v>969</v>
      </c>
      <c r="B139" s="2041"/>
      <c r="C139" s="2041"/>
      <c r="D139" s="2041"/>
      <c r="E139" s="2041"/>
      <c r="F139" s="2041"/>
      <c r="G139" s="2041"/>
      <c r="H139" s="2041"/>
      <c r="I139" s="2041"/>
      <c r="J139" s="2041"/>
      <c r="K139" s="2041"/>
      <c r="L139" s="550"/>
    </row>
    <row r="140" spans="1:12" ht="61.5" customHeight="1" x14ac:dyDescent="0.25">
      <c r="A140" s="2042" t="s">
        <v>970</v>
      </c>
      <c r="B140" s="2042"/>
      <c r="C140" s="551" t="s">
        <v>971</v>
      </c>
      <c r="D140" s="551" t="s">
        <v>972</v>
      </c>
      <c r="E140" s="552" t="s">
        <v>973</v>
      </c>
      <c r="F140" s="553" t="s">
        <v>971</v>
      </c>
      <c r="G140" s="551" t="s">
        <v>972</v>
      </c>
      <c r="H140" s="554"/>
      <c r="I140" s="552" t="s">
        <v>974</v>
      </c>
      <c r="J140" s="551" t="s">
        <v>971</v>
      </c>
      <c r="K140" s="551" t="s">
        <v>972</v>
      </c>
      <c r="L140" s="550"/>
    </row>
    <row r="141" spans="1:12" ht="95.25" customHeight="1" x14ac:dyDescent="0.25">
      <c r="A141" s="2043" t="s">
        <v>975</v>
      </c>
      <c r="B141" s="2044"/>
      <c r="C141" s="555">
        <f>G79/I150</f>
        <v>0</v>
      </c>
      <c r="D141" s="555">
        <f>G80/H150</f>
        <v>0</v>
      </c>
      <c r="E141" s="556" t="s">
        <v>976</v>
      </c>
      <c r="F141" s="555">
        <f>H79/I150</f>
        <v>0</v>
      </c>
      <c r="G141" s="555">
        <f>H80/H150</f>
        <v>0</v>
      </c>
      <c r="H141" s="554"/>
      <c r="I141" s="556" t="s">
        <v>977</v>
      </c>
      <c r="J141" s="555">
        <f>I79/I150</f>
        <v>0</v>
      </c>
      <c r="K141" s="555">
        <f>I80/H150</f>
        <v>0</v>
      </c>
      <c r="L141" s="550"/>
    </row>
    <row r="142" spans="1:12" ht="106.5" customHeight="1" x14ac:dyDescent="0.25">
      <c r="A142" s="2043" t="s">
        <v>978</v>
      </c>
      <c r="B142" s="2044"/>
      <c r="C142" s="555">
        <f>G122/I150</f>
        <v>0</v>
      </c>
      <c r="D142" s="555">
        <f>G123/H150</f>
        <v>0</v>
      </c>
      <c r="E142" s="556" t="s">
        <v>979</v>
      </c>
      <c r="F142" s="555">
        <f>H122/I150</f>
        <v>0</v>
      </c>
      <c r="G142" s="555">
        <f>H123/H150</f>
        <v>0</v>
      </c>
      <c r="H142" s="554"/>
      <c r="I142" s="556" t="s">
        <v>980</v>
      </c>
      <c r="J142" s="555">
        <f>I122/I150</f>
        <v>0</v>
      </c>
      <c r="K142" s="555">
        <f>I123/H150</f>
        <v>0</v>
      </c>
      <c r="L142" s="550"/>
    </row>
    <row r="143" spans="1:12" ht="18" x14ac:dyDescent="0.25">
      <c r="A143" s="557"/>
      <c r="B143" s="558"/>
      <c r="C143" s="558"/>
      <c r="D143" s="558"/>
      <c r="E143" s="558"/>
      <c r="G143" s="559"/>
      <c r="H143" s="440"/>
      <c r="I143" s="559"/>
      <c r="L143" s="550"/>
    </row>
    <row r="144" spans="1:12" ht="66.75" customHeight="1" x14ac:dyDescent="0.25">
      <c r="A144" s="2045" t="s">
        <v>981</v>
      </c>
      <c r="B144" s="2045"/>
      <c r="C144" s="560">
        <f>IF(C141&gt;C142,C141,C142)</f>
        <v>0</v>
      </c>
      <c r="D144" s="560">
        <f>IF(D141&gt;D142,D141,D142)</f>
        <v>0</v>
      </c>
      <c r="E144" s="561" t="s">
        <v>981</v>
      </c>
      <c r="F144" s="560">
        <f>IF(F141&gt;F142,F141,F142)</f>
        <v>0</v>
      </c>
      <c r="G144" s="560">
        <f>IF(G141&gt;G142,G141,G142)</f>
        <v>0</v>
      </c>
      <c r="H144" s="562"/>
      <c r="I144" s="563" t="s">
        <v>981</v>
      </c>
      <c r="J144" s="560">
        <f>IF(J141&gt;J142,J141,J142)</f>
        <v>0</v>
      </c>
      <c r="K144" s="560">
        <f>IF(K141&gt;K142,K141,K142)</f>
        <v>0</v>
      </c>
      <c r="L144" s="550"/>
    </row>
    <row r="145" spans="1:12" ht="18" x14ac:dyDescent="0.25">
      <c r="A145" s="564"/>
      <c r="B145" s="564"/>
      <c r="C145" s="562"/>
      <c r="D145" s="562"/>
      <c r="E145" s="565"/>
      <c r="F145" s="562"/>
      <c r="G145" s="562"/>
      <c r="H145" s="562"/>
      <c r="I145" s="566"/>
      <c r="J145" s="562"/>
      <c r="K145" s="562"/>
      <c r="L145" s="550"/>
    </row>
    <row r="146" spans="1:12" ht="66.75" customHeight="1" x14ac:dyDescent="0.25">
      <c r="A146" s="2012" t="s">
        <v>982</v>
      </c>
      <c r="B146" s="2012"/>
      <c r="C146" s="2012"/>
      <c r="D146" s="2012"/>
      <c r="E146" s="2012"/>
      <c r="F146" s="2012"/>
      <c r="G146" s="2012"/>
      <c r="H146" s="562"/>
      <c r="I146" s="566"/>
      <c r="J146" s="562"/>
      <c r="K146" s="562"/>
      <c r="L146" s="550"/>
    </row>
    <row r="147" spans="1:12" ht="18" x14ac:dyDescent="0.25">
      <c r="A147" s="557"/>
      <c r="B147" s="558"/>
      <c r="C147" s="558"/>
      <c r="D147" s="558"/>
      <c r="E147" s="558"/>
      <c r="G147" s="559"/>
      <c r="H147" s="440"/>
      <c r="I147" s="559"/>
      <c r="L147" s="550"/>
    </row>
    <row r="148" spans="1:12" ht="76.5" customHeight="1" x14ac:dyDescent="0.25">
      <c r="A148" s="557"/>
      <c r="B148" s="558"/>
      <c r="C148" s="558"/>
      <c r="D148" s="2059" t="s">
        <v>983</v>
      </c>
      <c r="E148" s="2060"/>
      <c r="F148" s="2060"/>
      <c r="G148" s="2060"/>
      <c r="H148" s="2060"/>
      <c r="I148" s="2061"/>
      <c r="L148" s="550"/>
    </row>
    <row r="149" spans="1:12" ht="57.75" customHeight="1" x14ac:dyDescent="0.25">
      <c r="A149" s="557"/>
      <c r="B149" s="558"/>
      <c r="C149" s="558"/>
      <c r="D149" s="354" t="s">
        <v>726</v>
      </c>
      <c r="E149" s="567" t="s">
        <v>711</v>
      </c>
      <c r="F149" s="568" t="s">
        <v>727</v>
      </c>
      <c r="G149" s="569" t="s">
        <v>984</v>
      </c>
      <c r="H149" s="354" t="s">
        <v>729</v>
      </c>
      <c r="I149" s="570" t="s">
        <v>730</v>
      </c>
      <c r="L149" s="550"/>
    </row>
    <row r="150" spans="1:12" ht="18" x14ac:dyDescent="0.25">
      <c r="A150" s="557"/>
      <c r="B150" s="558"/>
      <c r="C150" s="558"/>
      <c r="D150" s="571">
        <f>+'MATERIALIDAD FINANCIERA'!B51</f>
        <v>1</v>
      </c>
      <c r="E150" s="572" t="str">
        <f>+'MATERIALIDAD FINANCIERA'!C51</f>
        <v>Entre &gt;2,3% y &lt;=3%</v>
      </c>
      <c r="F150" s="1592" t="str">
        <f>+'MATERIALIDAD FINANCIERA'!D51</f>
        <v>Activos</v>
      </c>
      <c r="G150" s="573">
        <f>+'MATERIALIDAD FINANCIERA'!E51</f>
        <v>1592844995323</v>
      </c>
      <c r="H150" s="572" t="str">
        <f>+'MATERIALIDAD FINANCIERA'!F51</f>
        <v>3%</v>
      </c>
      <c r="I150" s="574">
        <f>+'MATERIALIDAD FINANCIERA'!G51</f>
        <v>47785349859.689995</v>
      </c>
      <c r="L150" s="550"/>
    </row>
    <row r="151" spans="1:12" ht="18" x14ac:dyDescent="0.25">
      <c r="A151" s="557"/>
      <c r="B151" s="558"/>
      <c r="C151" s="558"/>
      <c r="D151" s="558"/>
      <c r="E151" s="558"/>
      <c r="G151" s="559"/>
      <c r="H151" s="440"/>
      <c r="I151" s="559"/>
      <c r="L151" s="550"/>
    </row>
    <row r="152" spans="1:12" ht="54" customHeight="1" x14ac:dyDescent="0.25">
      <c r="B152" s="558"/>
      <c r="C152" s="558"/>
      <c r="D152" s="2096" t="s">
        <v>985</v>
      </c>
      <c r="E152" s="2096"/>
      <c r="F152" s="2096"/>
      <c r="G152" s="2096"/>
      <c r="H152" s="2096"/>
      <c r="I152" s="2096"/>
      <c r="L152" s="550"/>
    </row>
    <row r="153" spans="1:12" ht="18" x14ac:dyDescent="0.25">
      <c r="A153" s="557"/>
      <c r="B153" s="558"/>
      <c r="C153" s="558"/>
      <c r="D153" s="558"/>
      <c r="E153" s="558"/>
      <c r="G153" s="559"/>
      <c r="H153" s="440"/>
      <c r="I153" s="559"/>
      <c r="L153" s="550"/>
    </row>
    <row r="154" spans="1:12" ht="18.75" thickBot="1" x14ac:dyDescent="0.3">
      <c r="A154" s="557"/>
      <c r="B154" s="558"/>
      <c r="C154" s="558"/>
      <c r="D154" s="558"/>
      <c r="E154" s="558"/>
      <c r="G154" s="559"/>
      <c r="H154" s="440"/>
      <c r="I154" s="559"/>
      <c r="L154" s="550"/>
    </row>
    <row r="155" spans="1:12" ht="39.75" customHeight="1" thickBot="1" x14ac:dyDescent="0.3">
      <c r="A155" s="2097" t="s">
        <v>986</v>
      </c>
      <c r="B155" s="2098"/>
      <c r="C155" s="2098"/>
      <c r="D155" s="2098"/>
      <c r="E155" s="2098"/>
      <c r="F155" s="2099"/>
      <c r="G155" s="2062" t="s">
        <v>987</v>
      </c>
      <c r="H155" s="2063"/>
      <c r="I155" s="2063"/>
      <c r="J155" s="2064"/>
      <c r="K155" s="575"/>
      <c r="L155" s="497"/>
    </row>
    <row r="156" spans="1:12" ht="59.25" customHeight="1" thickBot="1" x14ac:dyDescent="0.3">
      <c r="A156" s="2065" t="s">
        <v>988</v>
      </c>
      <c r="B156" s="2066"/>
      <c r="C156" s="2066"/>
      <c r="D156" s="2066"/>
      <c r="E156" s="2066"/>
      <c r="F156" s="2067"/>
      <c r="G156" s="2068" t="s">
        <v>951</v>
      </c>
      <c r="H156" s="2069"/>
      <c r="I156" s="576" t="s">
        <v>952</v>
      </c>
      <c r="J156" s="576" t="s">
        <v>989</v>
      </c>
      <c r="K156" s="577"/>
      <c r="L156" s="497"/>
    </row>
    <row r="157" spans="1:12" ht="63" customHeight="1" thickBot="1" x14ac:dyDescent="0.3">
      <c r="A157" s="2052" t="s">
        <v>990</v>
      </c>
      <c r="B157" s="2053"/>
      <c r="C157" s="2053"/>
      <c r="D157" s="2053"/>
      <c r="E157" s="2053"/>
      <c r="F157" s="2054"/>
      <c r="G157" s="578" t="s">
        <v>991</v>
      </c>
      <c r="H157" s="579" t="str">
        <f>IFERROR(IF(C144&lt;=1,"SI","NO"),"")</f>
        <v>SI</v>
      </c>
      <c r="I157" s="579" t="str">
        <f>IFERROR(IF(F144&lt;=1,"SI","NO"),"")</f>
        <v>SI</v>
      </c>
      <c r="J157" s="579" t="str">
        <f>IFERROR(IF(J144&lt;=1,"SI","NO"),"")</f>
        <v>SI</v>
      </c>
      <c r="K157" s="580"/>
      <c r="L157" s="497"/>
    </row>
    <row r="158" spans="1:12" ht="50.25" customHeight="1" thickBot="1" x14ac:dyDescent="0.3">
      <c r="A158" s="2070" t="s">
        <v>992</v>
      </c>
      <c r="B158" s="2071"/>
      <c r="C158" s="2071"/>
      <c r="D158" s="2071"/>
      <c r="E158" s="2071"/>
      <c r="F158" s="2072"/>
      <c r="G158" s="578" t="s">
        <v>993</v>
      </c>
      <c r="H158" s="579" t="str">
        <f>IFERROR(IF(AND(C144&gt;=1,C144&lt;5),"SI","NO"),"")</f>
        <v>NO</v>
      </c>
      <c r="I158" s="579" t="str">
        <f>IFERROR(IF(AND(F144&gt;=1,F144&lt;5),"SI","NO"),"")</f>
        <v>NO</v>
      </c>
      <c r="J158" s="579" t="str">
        <f>IFERROR(IF(AND(J144&gt;1,J144&lt;5),"SI","NO"),"")</f>
        <v>NO</v>
      </c>
      <c r="K158" s="580"/>
      <c r="L158" s="497"/>
    </row>
    <row r="159" spans="1:12" ht="54.75" customHeight="1" thickBot="1" x14ac:dyDescent="0.3">
      <c r="A159" s="2052" t="s">
        <v>994</v>
      </c>
      <c r="B159" s="2053"/>
      <c r="C159" s="2053"/>
      <c r="D159" s="2053"/>
      <c r="E159" s="2053"/>
      <c r="F159" s="2054"/>
      <c r="G159" s="578" t="s">
        <v>995</v>
      </c>
      <c r="H159" s="579" t="str">
        <f>IFERROR(IF(C144&gt;5,"SI","NO"),"")</f>
        <v>NO</v>
      </c>
      <c r="I159" s="579" t="str">
        <f>IFERROR(IF(F144&gt;5,"SI","NO"),"")</f>
        <v>NO</v>
      </c>
      <c r="J159" s="579" t="str">
        <f>IFERROR(IF(J144&gt;5,"SI","NO"),"")</f>
        <v>NO</v>
      </c>
      <c r="K159" s="580"/>
      <c r="L159" s="497"/>
    </row>
    <row r="160" spans="1:12" ht="94.5" customHeight="1" x14ac:dyDescent="0.25">
      <c r="A160" s="2055"/>
      <c r="B160" s="2055"/>
      <c r="C160" s="2055"/>
      <c r="D160" s="2055"/>
      <c r="E160" s="2055"/>
      <c r="F160" s="2055"/>
      <c r="G160" s="581" t="s">
        <v>996</v>
      </c>
      <c r="H160" s="582" t="str">
        <f>IF(J144=J141,IF(C141&gt;=F141,"NO","SI"),IF(J144=J142,IF(C142&gt;=F142,"NO","SI"),""))</f>
        <v>NO</v>
      </c>
      <c r="I160" s="582" t="str">
        <f>IF(K144=K141,IF(D141&gt;=G141,"PREDOMINA INCORRECCIONES","PREDOMINA IMPOSIBILIDADES"),IF(K144=K142,IF(D142&gt;=G142,"PREDOMINA INCORRECCIONES","PREDOMINA IMPOSIBILIDADES"),""))</f>
        <v>PREDOMINA INCORRECCIONES</v>
      </c>
      <c r="L160" s="497"/>
    </row>
    <row r="161" spans="1:13" ht="151.5" customHeight="1" x14ac:dyDescent="0.25">
      <c r="B161" s="583"/>
      <c r="C161" s="583"/>
      <c r="D161" s="583"/>
      <c r="E161" s="583"/>
      <c r="F161" s="583"/>
      <c r="G161" s="2056" t="s">
        <v>997</v>
      </c>
      <c r="H161" s="2056"/>
      <c r="I161" s="2056"/>
      <c r="J161" s="2056"/>
      <c r="L161" s="497"/>
    </row>
    <row r="162" spans="1:13" s="445" customFormat="1" ht="24" thickBot="1" x14ac:dyDescent="0.3">
      <c r="A162" s="584"/>
      <c r="B162" s="585"/>
      <c r="C162" s="585"/>
      <c r="D162" s="585"/>
      <c r="E162" s="585"/>
      <c r="F162" s="585"/>
      <c r="G162" s="586"/>
      <c r="H162" s="587"/>
      <c r="I162" s="587"/>
      <c r="L162" s="528"/>
    </row>
    <row r="163" spans="1:13" ht="87.75" customHeight="1" thickBot="1" x14ac:dyDescent="0.3">
      <c r="A163" s="2057" t="s">
        <v>998</v>
      </c>
      <c r="B163" s="2057"/>
      <c r="C163" s="2057"/>
      <c r="D163" s="2057"/>
      <c r="E163" s="2057"/>
      <c r="F163" s="588" t="s">
        <v>999</v>
      </c>
      <c r="G163" s="589" t="str">
        <f>IF(J157="SI","Limpia o Sin Salvedades",IF(J158="SI","Con Salvedades",IF(AND(J159="SI",H160="NO"),"Negativa",IF(AND(J159="SI",H160="SI"),"Abstención",""))))</f>
        <v>Limpia o Sin Salvedades</v>
      </c>
      <c r="H163" s="590">
        <f>IF(G163="","",IF(OR(G163="ABSTENCIÓN",G163="NEGATIVA"),0%,IF(G163="LIMPIA O SIN SALVEDADES",100%,75%)))</f>
        <v>1</v>
      </c>
      <c r="I163" s="591"/>
      <c r="J163" s="592"/>
      <c r="K163" s="593"/>
      <c r="L163" s="497"/>
    </row>
    <row r="164" spans="1:13" ht="50.25" customHeight="1" thickBot="1" x14ac:dyDescent="0.3">
      <c r="A164" s="2058"/>
      <c r="B164" s="2058"/>
      <c r="C164" s="2058"/>
      <c r="D164" s="2058"/>
      <c r="E164" s="2058"/>
      <c r="F164" s="594" t="s">
        <v>179</v>
      </c>
      <c r="G164" s="595"/>
      <c r="H164" s="596" t="str">
        <f>IF(H163="","",IF(H163&gt;=75%,"EFICAZ","INEFICAZ"))</f>
        <v>EFICAZ</v>
      </c>
      <c r="I164" s="597"/>
      <c r="J164" s="598"/>
      <c r="K164" s="599"/>
      <c r="L164" s="600"/>
    </row>
    <row r="165" spans="1:13" s="445" customFormat="1" ht="64.5" customHeight="1" x14ac:dyDescent="0.25">
      <c r="A165" s="2096" t="s">
        <v>1000</v>
      </c>
      <c r="B165" s="2096"/>
      <c r="C165" s="2096"/>
      <c r="D165" s="2096"/>
      <c r="E165" s="2096"/>
      <c r="F165" s="2096"/>
      <c r="G165" s="2096"/>
      <c r="H165" s="2096"/>
      <c r="I165" s="591"/>
      <c r="J165" s="601"/>
      <c r="K165" s="593"/>
    </row>
    <row r="166" spans="1:13" x14ac:dyDescent="0.25">
      <c r="J166" s="442"/>
      <c r="K166" s="442"/>
    </row>
    <row r="167" spans="1:13" x14ac:dyDescent="0.25">
      <c r="J167" s="442"/>
      <c r="K167" s="442"/>
    </row>
    <row r="168" spans="1:13" ht="14.25" customHeight="1" x14ac:dyDescent="0.25">
      <c r="A168" s="2075" t="s">
        <v>748</v>
      </c>
      <c r="B168" s="2076"/>
      <c r="C168" s="2076"/>
      <c r="D168" s="2076"/>
      <c r="E168" s="2076"/>
      <c r="F168" s="2076"/>
      <c r="G168" s="2076"/>
      <c r="H168" s="2076"/>
      <c r="I168" s="2076"/>
      <c r="J168" s="2076"/>
      <c r="K168" s="2076"/>
      <c r="L168" s="2076"/>
      <c r="M168" s="2077"/>
    </row>
    <row r="169" spans="1:13" ht="14.25" customHeight="1" x14ac:dyDescent="0.25">
      <c r="A169" s="2078"/>
      <c r="B169" s="2079"/>
      <c r="C169" s="2079"/>
      <c r="D169" s="2079"/>
      <c r="E169" s="2079"/>
      <c r="F169" s="2079"/>
      <c r="G169" s="2079"/>
      <c r="H169" s="2079"/>
      <c r="I169" s="2079"/>
      <c r="J169" s="2079"/>
      <c r="K169" s="2079"/>
      <c r="L169" s="2079"/>
      <c r="M169" s="2080"/>
    </row>
    <row r="170" spans="1:13" ht="14.25" customHeight="1" x14ac:dyDescent="0.25">
      <c r="A170" s="2081"/>
      <c r="B170" s="2082"/>
      <c r="C170" s="2082"/>
      <c r="D170" s="2082"/>
      <c r="E170" s="2082"/>
      <c r="F170" s="2082"/>
      <c r="G170" s="2082"/>
      <c r="H170" s="2082"/>
      <c r="I170" s="2082"/>
      <c r="J170" s="2082"/>
      <c r="K170" s="2082"/>
      <c r="L170" s="2082"/>
      <c r="M170" s="2083"/>
    </row>
    <row r="171" spans="1:13" x14ac:dyDescent="0.25">
      <c r="A171" s="1941" t="s">
        <v>749</v>
      </c>
      <c r="B171" s="1942"/>
      <c r="C171" s="1942"/>
      <c r="D171" s="1942"/>
      <c r="E171" s="1942"/>
      <c r="F171" s="1942"/>
      <c r="G171" s="1942"/>
      <c r="H171" s="1942"/>
      <c r="I171" s="1942"/>
      <c r="J171" s="1943"/>
      <c r="K171" s="2074" t="s">
        <v>750</v>
      </c>
      <c r="L171" s="2074"/>
      <c r="M171" s="2074"/>
    </row>
    <row r="172" spans="1:13" x14ac:dyDescent="0.25">
      <c r="A172" s="2074" t="s">
        <v>751</v>
      </c>
      <c r="B172" s="2074"/>
      <c r="C172" s="2074"/>
      <c r="D172" s="2074"/>
      <c r="E172" s="2074"/>
      <c r="F172" s="2074"/>
      <c r="G172" s="2074"/>
      <c r="H172" s="2074"/>
      <c r="I172" s="2074"/>
      <c r="J172" s="2074"/>
      <c r="K172" s="2074"/>
      <c r="L172" s="2074"/>
      <c r="M172" s="2074"/>
    </row>
    <row r="173" spans="1:13" ht="14.25" customHeight="1" x14ac:dyDescent="0.25">
      <c r="A173" s="2084" t="s">
        <v>1902</v>
      </c>
      <c r="B173" s="2085"/>
      <c r="C173" s="2085"/>
      <c r="D173" s="2085"/>
      <c r="E173" s="2086"/>
      <c r="F173" s="2090" t="s">
        <v>1903</v>
      </c>
      <c r="G173" s="2091"/>
      <c r="H173" s="2091"/>
      <c r="I173" s="2091"/>
      <c r="J173" s="2092"/>
      <c r="K173" s="2074" t="s">
        <v>752</v>
      </c>
      <c r="L173" s="2074"/>
      <c r="M173" s="2074"/>
    </row>
    <row r="174" spans="1:13" ht="14.25" customHeight="1" x14ac:dyDescent="0.25">
      <c r="A174" s="2087"/>
      <c r="B174" s="2088"/>
      <c r="C174" s="2088"/>
      <c r="D174" s="2088"/>
      <c r="E174" s="2089"/>
      <c r="F174" s="2093"/>
      <c r="G174" s="2094"/>
      <c r="H174" s="2094"/>
      <c r="I174" s="2094"/>
      <c r="J174" s="2095"/>
      <c r="K174" s="2074"/>
      <c r="L174" s="2074"/>
      <c r="M174" s="2074"/>
    </row>
    <row r="175" spans="1:13" x14ac:dyDescent="0.25">
      <c r="A175" s="2074" t="s">
        <v>753</v>
      </c>
      <c r="B175" s="2074"/>
      <c r="C175" s="2074"/>
      <c r="D175" s="2074"/>
      <c r="E175" s="2074"/>
      <c r="F175" s="2074"/>
      <c r="G175" s="2074"/>
      <c r="H175" s="2074"/>
      <c r="I175" s="2074"/>
      <c r="J175" s="2074"/>
      <c r="K175" s="2074"/>
      <c r="L175" s="2074"/>
      <c r="M175" s="2074"/>
    </row>
    <row r="176" spans="1:13" x14ac:dyDescent="0.25">
      <c r="A176" s="2074" t="s">
        <v>1904</v>
      </c>
      <c r="B176" s="2074"/>
      <c r="C176" s="2074"/>
      <c r="D176" s="2074"/>
      <c r="E176" s="2074"/>
      <c r="F176" s="1976" t="s">
        <v>1905</v>
      </c>
      <c r="G176" s="1977"/>
      <c r="H176" s="1941" t="s">
        <v>754</v>
      </c>
      <c r="I176" s="1942"/>
      <c r="J176" s="1943"/>
      <c r="K176" s="2074" t="s">
        <v>755</v>
      </c>
      <c r="L176" s="2074"/>
      <c r="M176" s="2074"/>
    </row>
    <row r="177" spans="10:11" x14ac:dyDescent="0.25">
      <c r="J177" s="442"/>
      <c r="K177" s="442"/>
    </row>
    <row r="178" spans="10:11" x14ac:dyDescent="0.25">
      <c r="J178" s="442"/>
      <c r="K178" s="442"/>
    </row>
    <row r="179" spans="10:11" x14ac:dyDescent="0.25">
      <c r="J179" s="442"/>
      <c r="K179" s="442"/>
    </row>
    <row r="180" spans="10:11" x14ac:dyDescent="0.25">
      <c r="J180" s="442"/>
      <c r="K180" s="442"/>
    </row>
    <row r="181" spans="10:11" x14ac:dyDescent="0.25">
      <c r="J181" s="442"/>
      <c r="K181" s="442"/>
    </row>
    <row r="182" spans="10:11" x14ac:dyDescent="0.25">
      <c r="J182" s="442"/>
      <c r="K182" s="442"/>
    </row>
    <row r="183" spans="10:11" x14ac:dyDescent="0.25">
      <c r="J183" s="442"/>
      <c r="K183" s="442"/>
    </row>
    <row r="184" spans="10:11" x14ac:dyDescent="0.25">
      <c r="J184" s="442"/>
      <c r="K184" s="442"/>
    </row>
    <row r="185" spans="10:11" x14ac:dyDescent="0.25">
      <c r="J185" s="442"/>
      <c r="K185" s="442"/>
    </row>
    <row r="186" spans="10:11" x14ac:dyDescent="0.25">
      <c r="J186" s="442"/>
      <c r="K186" s="442"/>
    </row>
    <row r="187" spans="10:11" x14ac:dyDescent="0.25">
      <c r="J187" s="442"/>
      <c r="K187" s="442"/>
    </row>
    <row r="188" spans="10:11" x14ac:dyDescent="0.25">
      <c r="J188" s="442"/>
      <c r="K188" s="442"/>
    </row>
    <row r="189" spans="10:11" ht="21.75" customHeight="1" x14ac:dyDescent="0.25">
      <c r="J189" s="442"/>
      <c r="K189" s="442"/>
    </row>
    <row r="190" spans="10:11" x14ac:dyDescent="0.25">
      <c r="J190" s="442"/>
      <c r="K190" s="442"/>
    </row>
    <row r="191" spans="10:11" x14ac:dyDescent="0.25">
      <c r="J191" s="442"/>
      <c r="K191" s="442"/>
    </row>
    <row r="192" spans="10:11" x14ac:dyDescent="0.25">
      <c r="J192" s="442"/>
      <c r="K192" s="442"/>
    </row>
    <row r="193" spans="1:11" x14ac:dyDescent="0.25">
      <c r="A193" s="602" t="s">
        <v>1001</v>
      </c>
      <c r="B193" s="603" t="s">
        <v>911</v>
      </c>
      <c r="J193" s="442"/>
      <c r="K193" s="442"/>
    </row>
    <row r="194" spans="1:11" x14ac:dyDescent="0.25">
      <c r="A194" s="602"/>
      <c r="B194" s="604" t="s">
        <v>914</v>
      </c>
      <c r="J194" s="442"/>
      <c r="K194" s="442"/>
    </row>
    <row r="195" spans="1:11" x14ac:dyDescent="0.25">
      <c r="A195" s="440" t="s">
        <v>926</v>
      </c>
      <c r="B195" s="604" t="s">
        <v>1002</v>
      </c>
      <c r="J195" s="442"/>
      <c r="K195" s="442"/>
    </row>
    <row r="196" spans="1:11" x14ac:dyDescent="0.25">
      <c r="A196" s="440" t="s">
        <v>928</v>
      </c>
      <c r="B196" s="604" t="s">
        <v>1003</v>
      </c>
      <c r="J196" s="442"/>
      <c r="K196" s="442"/>
    </row>
    <row r="197" spans="1:11" ht="28.5" x14ac:dyDescent="0.25">
      <c r="A197" s="440" t="s">
        <v>937</v>
      </c>
      <c r="B197" s="604" t="s">
        <v>1004</v>
      </c>
      <c r="J197" s="442"/>
      <c r="K197" s="442"/>
    </row>
    <row r="198" spans="1:11" x14ac:dyDescent="0.25">
      <c r="A198" s="440" t="s">
        <v>1005</v>
      </c>
      <c r="B198" s="604" t="s">
        <v>1006</v>
      </c>
      <c r="J198" s="442"/>
      <c r="K198" s="442"/>
    </row>
    <row r="199" spans="1:11" x14ac:dyDescent="0.25">
      <c r="J199" s="442"/>
      <c r="K199" s="442"/>
    </row>
    <row r="200" spans="1:11" x14ac:dyDescent="0.25">
      <c r="J200" s="442"/>
      <c r="K200" s="442"/>
    </row>
    <row r="201" spans="1:11" x14ac:dyDescent="0.25">
      <c r="J201" s="442"/>
      <c r="K201" s="442"/>
    </row>
    <row r="202" spans="1:11" x14ac:dyDescent="0.25">
      <c r="J202" s="442"/>
      <c r="K202" s="442"/>
    </row>
    <row r="203" spans="1:11" x14ac:dyDescent="0.25">
      <c r="J203" s="442"/>
      <c r="K203" s="442"/>
    </row>
    <row r="204" spans="1:11" x14ac:dyDescent="0.25">
      <c r="J204" s="442"/>
      <c r="K204" s="442"/>
    </row>
    <row r="205" spans="1:11" x14ac:dyDescent="0.25">
      <c r="J205" s="442"/>
      <c r="K205" s="442"/>
    </row>
    <row r="206" spans="1:11" x14ac:dyDescent="0.25">
      <c r="J206" s="442"/>
      <c r="K206" s="442"/>
    </row>
    <row r="207" spans="1:11" x14ac:dyDescent="0.25">
      <c r="J207" s="442"/>
      <c r="K207" s="442"/>
    </row>
    <row r="208" spans="1:11" x14ac:dyDescent="0.25">
      <c r="J208" s="442"/>
      <c r="K208" s="442"/>
    </row>
    <row r="209" spans="10:11" x14ac:dyDescent="0.25">
      <c r="J209" s="442"/>
      <c r="K209" s="442"/>
    </row>
    <row r="210" spans="10:11" x14ac:dyDescent="0.25">
      <c r="J210" s="442"/>
      <c r="K210" s="442"/>
    </row>
    <row r="211" spans="10:11" x14ac:dyDescent="0.25">
      <c r="J211" s="442"/>
      <c r="K211" s="442"/>
    </row>
    <row r="212" spans="10:11" x14ac:dyDescent="0.25">
      <c r="J212" s="442"/>
      <c r="K212" s="442"/>
    </row>
    <row r="213" spans="10:11" x14ac:dyDescent="0.25">
      <c r="J213" s="442"/>
      <c r="K213" s="442"/>
    </row>
    <row r="214" spans="10:11" x14ac:dyDescent="0.25">
      <c r="J214" s="442"/>
      <c r="K214" s="442"/>
    </row>
    <row r="215" spans="10:11" x14ac:dyDescent="0.25">
      <c r="J215" s="442"/>
      <c r="K215" s="442"/>
    </row>
    <row r="216" spans="10:11" x14ac:dyDescent="0.25">
      <c r="J216" s="442"/>
      <c r="K216" s="442"/>
    </row>
    <row r="217" spans="10:11" x14ac:dyDescent="0.25">
      <c r="J217" s="442"/>
      <c r="K217" s="442"/>
    </row>
    <row r="218" spans="10:11" x14ac:dyDescent="0.25">
      <c r="J218" s="442"/>
      <c r="K218" s="442"/>
    </row>
    <row r="219" spans="10:11" x14ac:dyDescent="0.25">
      <c r="J219" s="442"/>
      <c r="K219" s="442"/>
    </row>
    <row r="220" spans="10:11" x14ac:dyDescent="0.25">
      <c r="J220" s="442"/>
      <c r="K220" s="442"/>
    </row>
    <row r="221" spans="10:11" x14ac:dyDescent="0.25">
      <c r="J221" s="442"/>
      <c r="K221" s="442"/>
    </row>
    <row r="222" spans="10:11" x14ac:dyDescent="0.25">
      <c r="J222" s="442"/>
      <c r="K222" s="442"/>
    </row>
    <row r="223" spans="10:11" x14ac:dyDescent="0.25">
      <c r="J223" s="442"/>
      <c r="K223" s="442"/>
    </row>
    <row r="224" spans="10:11" x14ac:dyDescent="0.25">
      <c r="J224" s="442"/>
      <c r="K224" s="442"/>
    </row>
    <row r="225" spans="10:11" x14ac:dyDescent="0.25">
      <c r="J225" s="442"/>
      <c r="K225" s="442"/>
    </row>
    <row r="226" spans="10:11" x14ac:dyDescent="0.25">
      <c r="J226" s="442"/>
      <c r="K226" s="442"/>
    </row>
    <row r="227" spans="10:11" x14ac:dyDescent="0.25">
      <c r="J227" s="442"/>
      <c r="K227" s="442"/>
    </row>
    <row r="228" spans="10:11" x14ac:dyDescent="0.25">
      <c r="J228" s="442"/>
      <c r="K228" s="442"/>
    </row>
    <row r="229" spans="10:11" x14ac:dyDescent="0.25">
      <c r="J229" s="442"/>
      <c r="K229" s="442"/>
    </row>
    <row r="230" spans="10:11" x14ac:dyDescent="0.25">
      <c r="J230" s="442"/>
      <c r="K230" s="442"/>
    </row>
    <row r="231" spans="10:11" x14ac:dyDescent="0.25">
      <c r="J231" s="442"/>
      <c r="K231" s="442"/>
    </row>
    <row r="232" spans="10:11" x14ac:dyDescent="0.25">
      <c r="J232" s="442"/>
      <c r="K232" s="442"/>
    </row>
    <row r="233" spans="10:11" x14ac:dyDescent="0.25">
      <c r="J233" s="442"/>
      <c r="K233" s="442"/>
    </row>
    <row r="234" spans="10:11" x14ac:dyDescent="0.25">
      <c r="J234" s="442"/>
      <c r="K234" s="442"/>
    </row>
    <row r="235" spans="10:11" x14ac:dyDescent="0.25">
      <c r="J235" s="442"/>
      <c r="K235" s="442"/>
    </row>
    <row r="236" spans="10:11" x14ac:dyDescent="0.25">
      <c r="J236" s="442"/>
      <c r="K236" s="442"/>
    </row>
    <row r="237" spans="10:11" x14ac:dyDescent="0.25">
      <c r="J237" s="442"/>
      <c r="K237" s="442"/>
    </row>
    <row r="238" spans="10:11" x14ac:dyDescent="0.25">
      <c r="J238" s="442"/>
      <c r="K238" s="442"/>
    </row>
    <row r="239" spans="10:11" x14ac:dyDescent="0.25">
      <c r="J239" s="442"/>
      <c r="K239" s="442"/>
    </row>
    <row r="240" spans="10:11" x14ac:dyDescent="0.25">
      <c r="J240" s="442"/>
      <c r="K240" s="442"/>
    </row>
    <row r="241" spans="10:11" x14ac:dyDescent="0.25">
      <c r="J241" s="442"/>
      <c r="K241" s="442"/>
    </row>
    <row r="242" spans="10:11" x14ac:dyDescent="0.25">
      <c r="J242" s="442"/>
      <c r="K242" s="442"/>
    </row>
    <row r="243" spans="10:11" x14ac:dyDescent="0.25">
      <c r="J243" s="442"/>
      <c r="K243" s="442"/>
    </row>
    <row r="244" spans="10:11" x14ac:dyDescent="0.25">
      <c r="J244" s="442"/>
      <c r="K244" s="442"/>
    </row>
    <row r="245" spans="10:11" x14ac:dyDescent="0.25">
      <c r="J245" s="442"/>
      <c r="K245" s="442"/>
    </row>
    <row r="246" spans="10:11" x14ac:dyDescent="0.25">
      <c r="J246" s="442"/>
      <c r="K246" s="442"/>
    </row>
    <row r="247" spans="10:11" x14ac:dyDescent="0.25">
      <c r="J247" s="442"/>
      <c r="K247" s="442"/>
    </row>
    <row r="248" spans="10:11" x14ac:dyDescent="0.25">
      <c r="J248" s="442"/>
      <c r="K248" s="442"/>
    </row>
    <row r="249" spans="10:11" x14ac:dyDescent="0.25">
      <c r="J249" s="442"/>
      <c r="K249" s="442"/>
    </row>
    <row r="250" spans="10:11" x14ac:dyDescent="0.25">
      <c r="J250" s="442"/>
      <c r="K250" s="442"/>
    </row>
    <row r="251" spans="10:11" x14ac:dyDescent="0.25">
      <c r="J251" s="442"/>
      <c r="K251" s="442"/>
    </row>
    <row r="252" spans="10:11" x14ac:dyDescent="0.25">
      <c r="J252" s="442"/>
      <c r="K252" s="442"/>
    </row>
    <row r="253" spans="10:11" x14ac:dyDescent="0.25">
      <c r="J253" s="442"/>
      <c r="K253" s="442"/>
    </row>
    <row r="254" spans="10:11" x14ac:dyDescent="0.25">
      <c r="J254" s="442"/>
      <c r="K254" s="442"/>
    </row>
    <row r="255" spans="10:11" x14ac:dyDescent="0.25">
      <c r="J255" s="442"/>
      <c r="K255" s="442"/>
    </row>
    <row r="256" spans="10:11" x14ac:dyDescent="0.25">
      <c r="J256" s="442"/>
      <c r="K256" s="442"/>
    </row>
    <row r="257" spans="10:11" x14ac:dyDescent="0.25">
      <c r="J257" s="442"/>
      <c r="K257" s="442"/>
    </row>
    <row r="258" spans="10:11" x14ac:dyDescent="0.25">
      <c r="J258" s="442"/>
      <c r="K258" s="442"/>
    </row>
    <row r="259" spans="10:11" x14ac:dyDescent="0.25">
      <c r="J259" s="442"/>
      <c r="K259" s="442"/>
    </row>
    <row r="260" spans="10:11" x14ac:dyDescent="0.25">
      <c r="J260" s="442"/>
      <c r="K260" s="442"/>
    </row>
    <row r="261" spans="10:11" x14ac:dyDescent="0.25">
      <c r="J261" s="442"/>
      <c r="K261" s="442"/>
    </row>
    <row r="262" spans="10:11" x14ac:dyDescent="0.25">
      <c r="J262" s="442"/>
      <c r="K262" s="442"/>
    </row>
    <row r="263" spans="10:11" x14ac:dyDescent="0.25">
      <c r="J263" s="442"/>
      <c r="K263" s="442"/>
    </row>
    <row r="264" spans="10:11" x14ac:dyDescent="0.25">
      <c r="J264" s="442"/>
      <c r="K264" s="442"/>
    </row>
    <row r="265" spans="10:11" x14ac:dyDescent="0.25">
      <c r="J265" s="442"/>
      <c r="K265" s="442"/>
    </row>
    <row r="266" spans="10:11" x14ac:dyDescent="0.25">
      <c r="J266" s="442"/>
      <c r="K266" s="442"/>
    </row>
    <row r="267" spans="10:11" x14ac:dyDescent="0.25">
      <c r="J267" s="442"/>
      <c r="K267" s="442"/>
    </row>
    <row r="268" spans="10:11" x14ac:dyDescent="0.25">
      <c r="J268" s="442"/>
      <c r="K268" s="442"/>
    </row>
    <row r="269" spans="10:11" x14ac:dyDescent="0.25">
      <c r="J269" s="442"/>
      <c r="K269" s="442"/>
    </row>
    <row r="270" spans="10:11" x14ac:dyDescent="0.25">
      <c r="J270" s="442"/>
      <c r="K270" s="442"/>
    </row>
    <row r="271" spans="10:11" x14ac:dyDescent="0.25">
      <c r="J271" s="442"/>
      <c r="K271" s="442"/>
    </row>
    <row r="272" spans="10:11" x14ac:dyDescent="0.25">
      <c r="J272" s="442"/>
      <c r="K272" s="442"/>
    </row>
    <row r="273" spans="10:11" x14ac:dyDescent="0.25">
      <c r="J273" s="442"/>
      <c r="K273" s="442"/>
    </row>
    <row r="274" spans="10:11" x14ac:dyDescent="0.25">
      <c r="J274" s="442"/>
      <c r="K274" s="442"/>
    </row>
    <row r="275" spans="10:11" x14ac:dyDescent="0.25">
      <c r="J275" s="442"/>
      <c r="K275" s="442"/>
    </row>
    <row r="276" spans="10:11" x14ac:dyDescent="0.25">
      <c r="J276" s="442"/>
      <c r="K276" s="442"/>
    </row>
    <row r="277" spans="10:11" x14ac:dyDescent="0.25">
      <c r="J277" s="442"/>
      <c r="K277" s="442"/>
    </row>
    <row r="278" spans="10:11" x14ac:dyDescent="0.25">
      <c r="J278" s="442"/>
      <c r="K278" s="442"/>
    </row>
    <row r="279" spans="10:11" x14ac:dyDescent="0.25">
      <c r="J279" s="442"/>
      <c r="K279" s="442"/>
    </row>
    <row r="280" spans="10:11" x14ac:dyDescent="0.25">
      <c r="J280" s="442"/>
      <c r="K280" s="442"/>
    </row>
    <row r="281" spans="10:11" x14ac:dyDescent="0.25">
      <c r="J281" s="442"/>
      <c r="K281" s="442"/>
    </row>
    <row r="282" spans="10:11" x14ac:dyDescent="0.25">
      <c r="J282" s="442"/>
      <c r="K282" s="442"/>
    </row>
    <row r="283" spans="10:11" x14ac:dyDescent="0.25">
      <c r="J283" s="442"/>
      <c r="K283" s="442"/>
    </row>
    <row r="284" spans="10:11" x14ac:dyDescent="0.25">
      <c r="J284" s="442"/>
      <c r="K284" s="442"/>
    </row>
    <row r="285" spans="10:11" x14ac:dyDescent="0.25">
      <c r="J285" s="442"/>
      <c r="K285" s="442"/>
    </row>
    <row r="286" spans="10:11" x14ac:dyDescent="0.25">
      <c r="J286" s="442"/>
      <c r="K286" s="442"/>
    </row>
    <row r="287" spans="10:11" x14ac:dyDescent="0.25">
      <c r="J287" s="442"/>
      <c r="K287" s="442"/>
    </row>
    <row r="288" spans="10:11" x14ac:dyDescent="0.25">
      <c r="J288" s="442"/>
      <c r="K288" s="442"/>
    </row>
    <row r="289" spans="10:11" x14ac:dyDescent="0.25">
      <c r="J289" s="442"/>
      <c r="K289" s="442"/>
    </row>
    <row r="290" spans="10:11" x14ac:dyDescent="0.25">
      <c r="J290" s="442"/>
      <c r="K290" s="442"/>
    </row>
    <row r="291" spans="10:11" x14ac:dyDescent="0.25">
      <c r="J291" s="442"/>
      <c r="K291" s="442"/>
    </row>
    <row r="292" spans="10:11" x14ac:dyDescent="0.25">
      <c r="J292" s="442"/>
      <c r="K292" s="442"/>
    </row>
    <row r="293" spans="10:11" x14ac:dyDescent="0.25">
      <c r="J293" s="442"/>
      <c r="K293" s="442"/>
    </row>
    <row r="294" spans="10:11" x14ac:dyDescent="0.25">
      <c r="J294" s="442"/>
      <c r="K294" s="442"/>
    </row>
    <row r="295" spans="10:11" x14ac:dyDescent="0.25">
      <c r="J295" s="442"/>
      <c r="K295" s="442"/>
    </row>
    <row r="296" spans="10:11" x14ac:dyDescent="0.25">
      <c r="J296" s="442"/>
      <c r="K296" s="442"/>
    </row>
    <row r="297" spans="10:11" x14ac:dyDescent="0.25">
      <c r="J297" s="442"/>
      <c r="K297" s="442"/>
    </row>
    <row r="298" spans="10:11" x14ac:dyDescent="0.25">
      <c r="J298" s="442"/>
      <c r="K298" s="442"/>
    </row>
    <row r="299" spans="10:11" x14ac:dyDescent="0.25">
      <c r="J299" s="442"/>
      <c r="K299" s="442"/>
    </row>
    <row r="300" spans="10:11" x14ac:dyDescent="0.25">
      <c r="J300" s="442"/>
      <c r="K300" s="442"/>
    </row>
    <row r="301" spans="10:11" x14ac:dyDescent="0.25">
      <c r="J301" s="442"/>
      <c r="K301" s="442"/>
    </row>
    <row r="302" spans="10:11" x14ac:dyDescent="0.25">
      <c r="J302" s="442"/>
      <c r="K302" s="442"/>
    </row>
    <row r="303" spans="10:11" x14ac:dyDescent="0.25">
      <c r="J303" s="442"/>
      <c r="K303" s="442"/>
    </row>
    <row r="304" spans="10:11" x14ac:dyDescent="0.25">
      <c r="J304" s="442"/>
      <c r="K304" s="442"/>
    </row>
    <row r="305" spans="10:11" x14ac:dyDescent="0.25">
      <c r="J305" s="442"/>
      <c r="K305" s="442"/>
    </row>
    <row r="306" spans="10:11" x14ac:dyDescent="0.25">
      <c r="J306" s="442"/>
      <c r="K306" s="442"/>
    </row>
    <row r="307" spans="10:11" x14ac:dyDescent="0.25">
      <c r="J307" s="442"/>
      <c r="K307" s="442"/>
    </row>
    <row r="308" spans="10:11" x14ac:dyDescent="0.25">
      <c r="J308" s="442"/>
      <c r="K308" s="442"/>
    </row>
    <row r="309" spans="10:11" x14ac:dyDescent="0.25">
      <c r="J309" s="442"/>
      <c r="K309" s="442"/>
    </row>
    <row r="310" spans="10:11" x14ac:dyDescent="0.25">
      <c r="J310" s="442"/>
      <c r="K310" s="442"/>
    </row>
    <row r="311" spans="10:11" x14ac:dyDescent="0.25">
      <c r="J311" s="442"/>
      <c r="K311" s="442"/>
    </row>
    <row r="312" spans="10:11" x14ac:dyDescent="0.25">
      <c r="J312" s="442"/>
      <c r="K312" s="442"/>
    </row>
    <row r="313" spans="10:11" x14ac:dyDescent="0.25">
      <c r="J313" s="442"/>
      <c r="K313" s="442"/>
    </row>
    <row r="314" spans="10:11" x14ac:dyDescent="0.25">
      <c r="J314" s="442"/>
      <c r="K314" s="442"/>
    </row>
    <row r="315" spans="10:11" x14ac:dyDescent="0.25">
      <c r="J315" s="442"/>
      <c r="K315" s="442"/>
    </row>
    <row r="316" spans="10:11" x14ac:dyDescent="0.25">
      <c r="J316" s="442"/>
      <c r="K316" s="442"/>
    </row>
    <row r="317" spans="10:11" x14ac:dyDescent="0.25">
      <c r="J317" s="442"/>
      <c r="K317" s="442"/>
    </row>
    <row r="318" spans="10:11" x14ac:dyDescent="0.25">
      <c r="J318" s="442"/>
      <c r="K318" s="442"/>
    </row>
    <row r="319" spans="10:11" x14ac:dyDescent="0.25">
      <c r="J319" s="442"/>
      <c r="K319" s="442"/>
    </row>
    <row r="320" spans="10:11" x14ac:dyDescent="0.25">
      <c r="J320" s="442"/>
      <c r="K320" s="442"/>
    </row>
    <row r="321" spans="10:11" x14ac:dyDescent="0.25">
      <c r="J321" s="442"/>
      <c r="K321" s="442"/>
    </row>
    <row r="322" spans="10:11" x14ac:dyDescent="0.25">
      <c r="J322" s="442"/>
      <c r="K322" s="442"/>
    </row>
    <row r="323" spans="10:11" x14ac:dyDescent="0.25">
      <c r="J323" s="442"/>
      <c r="K323" s="442"/>
    </row>
    <row r="324" spans="10:11" x14ac:dyDescent="0.25">
      <c r="J324" s="442"/>
      <c r="K324" s="442"/>
    </row>
    <row r="325" spans="10:11" x14ac:dyDescent="0.25">
      <c r="J325" s="442"/>
      <c r="K325" s="442"/>
    </row>
    <row r="326" spans="10:11" x14ac:dyDescent="0.25">
      <c r="J326" s="442"/>
      <c r="K326" s="442"/>
    </row>
    <row r="327" spans="10:11" x14ac:dyDescent="0.25">
      <c r="J327" s="442"/>
      <c r="K327" s="442"/>
    </row>
    <row r="328" spans="10:11" x14ac:dyDescent="0.25">
      <c r="J328" s="442"/>
      <c r="K328" s="442"/>
    </row>
    <row r="329" spans="10:11" x14ac:dyDescent="0.25">
      <c r="J329" s="442"/>
      <c r="K329" s="442"/>
    </row>
    <row r="330" spans="10:11" x14ac:dyDescent="0.25">
      <c r="J330" s="442"/>
      <c r="K330" s="442"/>
    </row>
    <row r="331" spans="10:11" x14ac:dyDescent="0.25">
      <c r="J331" s="442"/>
      <c r="K331" s="442"/>
    </row>
    <row r="332" spans="10:11" x14ac:dyDescent="0.25">
      <c r="J332" s="442"/>
      <c r="K332" s="442"/>
    </row>
    <row r="333" spans="10:11" x14ac:dyDescent="0.25">
      <c r="J333" s="442"/>
      <c r="K333" s="442"/>
    </row>
    <row r="334" spans="10:11" x14ac:dyDescent="0.25">
      <c r="J334" s="442"/>
      <c r="K334" s="442"/>
    </row>
    <row r="335" spans="10:11" x14ac:dyDescent="0.25">
      <c r="J335" s="442"/>
      <c r="K335" s="442"/>
    </row>
    <row r="336" spans="10:11" x14ac:dyDescent="0.25">
      <c r="J336" s="442"/>
      <c r="K336" s="442"/>
    </row>
    <row r="337" spans="10:11" x14ac:dyDescent="0.25">
      <c r="J337" s="442"/>
      <c r="K337" s="442"/>
    </row>
    <row r="338" spans="10:11" x14ac:dyDescent="0.25">
      <c r="J338" s="442"/>
      <c r="K338" s="442"/>
    </row>
    <row r="339" spans="10:11" x14ac:dyDescent="0.25">
      <c r="J339" s="442"/>
      <c r="K339" s="442"/>
    </row>
    <row r="340" spans="10:11" x14ac:dyDescent="0.25">
      <c r="J340" s="442"/>
      <c r="K340" s="442"/>
    </row>
    <row r="341" spans="10:11" x14ac:dyDescent="0.25">
      <c r="J341" s="442"/>
      <c r="K341" s="442"/>
    </row>
    <row r="342" spans="10:11" x14ac:dyDescent="0.25">
      <c r="J342" s="442"/>
      <c r="K342" s="442"/>
    </row>
    <row r="343" spans="10:11" x14ac:dyDescent="0.25">
      <c r="J343" s="442"/>
      <c r="K343" s="442"/>
    </row>
    <row r="344" spans="10:11" x14ac:dyDescent="0.25">
      <c r="J344" s="442"/>
      <c r="K344" s="442"/>
    </row>
    <row r="345" spans="10:11" x14ac:dyDescent="0.25">
      <c r="J345" s="442"/>
      <c r="K345" s="442"/>
    </row>
    <row r="346" spans="10:11" x14ac:dyDescent="0.25">
      <c r="J346" s="442"/>
      <c r="K346" s="442"/>
    </row>
    <row r="347" spans="10:11" x14ac:dyDescent="0.25">
      <c r="J347" s="442"/>
      <c r="K347" s="442"/>
    </row>
    <row r="348" spans="10:11" x14ac:dyDescent="0.25">
      <c r="J348" s="442"/>
      <c r="K348" s="442"/>
    </row>
    <row r="349" spans="10:11" x14ac:dyDescent="0.25">
      <c r="J349" s="442"/>
      <c r="K349" s="442"/>
    </row>
    <row r="350" spans="10:11" x14ac:dyDescent="0.25">
      <c r="J350" s="442"/>
      <c r="K350" s="442"/>
    </row>
    <row r="351" spans="10:11" x14ac:dyDescent="0.25">
      <c r="J351" s="442"/>
      <c r="K351" s="442"/>
    </row>
    <row r="352" spans="10:11" x14ac:dyDescent="0.25">
      <c r="J352" s="442"/>
      <c r="K352" s="442"/>
    </row>
    <row r="353" spans="10:11" x14ac:dyDescent="0.25">
      <c r="J353" s="442"/>
      <c r="K353" s="442"/>
    </row>
    <row r="354" spans="10:11" x14ac:dyDescent="0.25">
      <c r="J354" s="442"/>
      <c r="K354" s="442"/>
    </row>
    <row r="355" spans="10:11" x14ac:dyDescent="0.25">
      <c r="J355" s="442"/>
      <c r="K355" s="442"/>
    </row>
    <row r="356" spans="10:11" x14ac:dyDescent="0.25">
      <c r="J356" s="442"/>
      <c r="K356" s="442"/>
    </row>
    <row r="357" spans="10:11" x14ac:dyDescent="0.25">
      <c r="J357" s="442"/>
      <c r="K357" s="442"/>
    </row>
    <row r="358" spans="10:11" x14ac:dyDescent="0.25">
      <c r="J358" s="442"/>
      <c r="K358" s="442"/>
    </row>
    <row r="359" spans="10:11" x14ac:dyDescent="0.25">
      <c r="J359" s="442"/>
      <c r="K359" s="442"/>
    </row>
    <row r="360" spans="10:11" x14ac:dyDescent="0.25">
      <c r="J360" s="442"/>
      <c r="K360" s="442"/>
    </row>
    <row r="361" spans="10:11" x14ac:dyDescent="0.25">
      <c r="J361" s="442"/>
      <c r="K361" s="442"/>
    </row>
    <row r="362" spans="10:11" x14ac:dyDescent="0.25">
      <c r="J362" s="442"/>
      <c r="K362" s="442"/>
    </row>
    <row r="363" spans="10:11" x14ac:dyDescent="0.25">
      <c r="J363" s="442"/>
      <c r="K363" s="442"/>
    </row>
    <row r="364" spans="10:11" x14ac:dyDescent="0.25">
      <c r="J364" s="442"/>
      <c r="K364" s="442"/>
    </row>
    <row r="365" spans="10:11" x14ac:dyDescent="0.25">
      <c r="J365" s="442"/>
      <c r="K365" s="442"/>
    </row>
    <row r="366" spans="10:11" x14ac:dyDescent="0.25">
      <c r="J366" s="442"/>
      <c r="K366" s="442"/>
    </row>
    <row r="367" spans="10:11" x14ac:dyDescent="0.25">
      <c r="J367" s="442"/>
      <c r="K367" s="442"/>
    </row>
    <row r="368" spans="10:11" x14ac:dyDescent="0.25">
      <c r="J368" s="442"/>
      <c r="K368" s="442"/>
    </row>
    <row r="369" spans="10:11" x14ac:dyDescent="0.25">
      <c r="J369" s="442"/>
      <c r="K369" s="442"/>
    </row>
    <row r="370" spans="10:11" x14ac:dyDescent="0.25">
      <c r="J370" s="442"/>
      <c r="K370" s="442"/>
    </row>
    <row r="371" spans="10:11" x14ac:dyDescent="0.25">
      <c r="J371" s="442"/>
      <c r="K371" s="442"/>
    </row>
    <row r="372" spans="10:11" x14ac:dyDescent="0.25">
      <c r="J372" s="442"/>
      <c r="K372" s="442"/>
    </row>
    <row r="373" spans="10:11" x14ac:dyDescent="0.25">
      <c r="J373" s="442"/>
      <c r="K373" s="442"/>
    </row>
    <row r="374" spans="10:11" x14ac:dyDescent="0.25">
      <c r="J374" s="442"/>
      <c r="K374" s="442"/>
    </row>
    <row r="375" spans="10:11" x14ac:dyDescent="0.25">
      <c r="J375" s="442"/>
      <c r="K375" s="442"/>
    </row>
    <row r="376" spans="10:11" x14ac:dyDescent="0.25">
      <c r="J376" s="442"/>
      <c r="K376" s="442"/>
    </row>
    <row r="377" spans="10:11" x14ac:dyDescent="0.25">
      <c r="J377" s="442"/>
      <c r="K377" s="442"/>
    </row>
    <row r="378" spans="10:11" x14ac:dyDescent="0.25">
      <c r="J378" s="442"/>
      <c r="K378" s="442"/>
    </row>
    <row r="379" spans="10:11" x14ac:dyDescent="0.25">
      <c r="J379" s="442"/>
      <c r="K379" s="442"/>
    </row>
    <row r="380" spans="10:11" x14ac:dyDescent="0.25">
      <c r="J380" s="442"/>
      <c r="K380" s="442"/>
    </row>
    <row r="381" spans="10:11" x14ac:dyDescent="0.25">
      <c r="J381" s="442"/>
      <c r="K381" s="442"/>
    </row>
    <row r="382" spans="10:11" x14ac:dyDescent="0.25">
      <c r="J382" s="442"/>
      <c r="K382" s="442"/>
    </row>
    <row r="383" spans="10:11" x14ac:dyDescent="0.25">
      <c r="J383" s="442"/>
      <c r="K383" s="442"/>
    </row>
    <row r="384" spans="10:11" x14ac:dyDescent="0.25">
      <c r="J384" s="442"/>
      <c r="K384" s="442"/>
    </row>
    <row r="385" spans="10:11" x14ac:dyDescent="0.25">
      <c r="J385" s="442"/>
      <c r="K385" s="442"/>
    </row>
    <row r="386" spans="10:11" x14ac:dyDescent="0.25">
      <c r="J386" s="442"/>
      <c r="K386" s="442"/>
    </row>
    <row r="387" spans="10:11" x14ac:dyDescent="0.25">
      <c r="J387" s="442"/>
      <c r="K387" s="442"/>
    </row>
    <row r="388" spans="10:11" x14ac:dyDescent="0.25">
      <c r="J388" s="442"/>
      <c r="K388" s="442"/>
    </row>
    <row r="389" spans="10:11" x14ac:dyDescent="0.25">
      <c r="J389" s="442"/>
      <c r="K389" s="442"/>
    </row>
    <row r="390" spans="10:11" x14ac:dyDescent="0.25">
      <c r="J390" s="442"/>
      <c r="K390" s="442"/>
    </row>
    <row r="391" spans="10:11" x14ac:dyDescent="0.25">
      <c r="J391" s="442"/>
      <c r="K391" s="442"/>
    </row>
    <row r="392" spans="10:11" x14ac:dyDescent="0.25">
      <c r="J392" s="442"/>
      <c r="K392" s="442"/>
    </row>
    <row r="393" spans="10:11" x14ac:dyDescent="0.25">
      <c r="J393" s="442"/>
      <c r="K393" s="442"/>
    </row>
    <row r="394" spans="10:11" x14ac:dyDescent="0.25">
      <c r="J394" s="442"/>
      <c r="K394" s="442"/>
    </row>
    <row r="395" spans="10:11" x14ac:dyDescent="0.25">
      <c r="J395" s="442"/>
      <c r="K395" s="442"/>
    </row>
    <row r="396" spans="10:11" x14ac:dyDescent="0.25">
      <c r="J396" s="442"/>
      <c r="K396" s="442"/>
    </row>
    <row r="397" spans="10:11" x14ac:dyDescent="0.25">
      <c r="J397" s="442"/>
      <c r="K397" s="442"/>
    </row>
    <row r="398" spans="10:11" x14ac:dyDescent="0.25">
      <c r="J398" s="442"/>
      <c r="K398" s="442"/>
    </row>
    <row r="399" spans="10:11" x14ac:dyDescent="0.25">
      <c r="J399" s="442"/>
      <c r="K399" s="442"/>
    </row>
    <row r="400" spans="10:11" x14ac:dyDescent="0.25">
      <c r="J400" s="442"/>
      <c r="K400" s="442"/>
    </row>
    <row r="401" spans="10:11" x14ac:dyDescent="0.25">
      <c r="J401" s="442"/>
      <c r="K401" s="442"/>
    </row>
    <row r="402" spans="10:11" x14ac:dyDescent="0.25">
      <c r="J402" s="442"/>
      <c r="K402" s="442"/>
    </row>
    <row r="403" spans="10:11" x14ac:dyDescent="0.25">
      <c r="J403" s="442"/>
      <c r="K403" s="442"/>
    </row>
    <row r="404" spans="10:11" x14ac:dyDescent="0.25">
      <c r="J404" s="442"/>
      <c r="K404" s="442"/>
    </row>
    <row r="405" spans="10:11" x14ac:dyDescent="0.25">
      <c r="J405" s="442"/>
      <c r="K405" s="442"/>
    </row>
    <row r="406" spans="10:11" x14ac:dyDescent="0.25">
      <c r="J406" s="442"/>
      <c r="K406" s="442"/>
    </row>
    <row r="407" spans="10:11" x14ac:dyDescent="0.25">
      <c r="J407" s="442"/>
      <c r="K407" s="442"/>
    </row>
    <row r="408" spans="10:11" x14ac:dyDescent="0.25">
      <c r="J408" s="442"/>
      <c r="K408" s="442"/>
    </row>
    <row r="409" spans="10:11" x14ac:dyDescent="0.25">
      <c r="J409" s="442"/>
      <c r="K409" s="442"/>
    </row>
    <row r="410" spans="10:11" x14ac:dyDescent="0.25">
      <c r="J410" s="442"/>
      <c r="K410" s="442"/>
    </row>
    <row r="411" spans="10:11" x14ac:dyDescent="0.25">
      <c r="J411" s="442"/>
      <c r="K411" s="442"/>
    </row>
    <row r="412" spans="10:11" x14ac:dyDescent="0.25">
      <c r="J412" s="442"/>
      <c r="K412" s="442"/>
    </row>
    <row r="413" spans="10:11" x14ac:dyDescent="0.25">
      <c r="J413" s="442"/>
      <c r="K413" s="442"/>
    </row>
    <row r="414" spans="10:11" x14ac:dyDescent="0.25">
      <c r="J414" s="442"/>
      <c r="K414" s="442"/>
    </row>
    <row r="415" spans="10:11" x14ac:dyDescent="0.25">
      <c r="J415" s="442"/>
      <c r="K415" s="442"/>
    </row>
    <row r="416" spans="10:11" x14ac:dyDescent="0.25">
      <c r="J416" s="442"/>
      <c r="K416" s="442"/>
    </row>
    <row r="417" spans="10:11" x14ac:dyDescent="0.25">
      <c r="J417" s="442"/>
      <c r="K417" s="442"/>
    </row>
    <row r="418" spans="10:11" x14ac:dyDescent="0.25">
      <c r="J418" s="442"/>
      <c r="K418" s="442"/>
    </row>
    <row r="419" spans="10:11" x14ac:dyDescent="0.25">
      <c r="J419" s="442"/>
      <c r="K419" s="442"/>
    </row>
    <row r="420" spans="10:11" x14ac:dyDescent="0.25">
      <c r="J420" s="442"/>
      <c r="K420" s="442"/>
    </row>
    <row r="421" spans="10:11" x14ac:dyDescent="0.25">
      <c r="J421" s="442"/>
      <c r="K421" s="442"/>
    </row>
    <row r="422" spans="10:11" x14ac:dyDescent="0.25">
      <c r="J422" s="442"/>
      <c r="K422" s="442"/>
    </row>
    <row r="423" spans="10:11" x14ac:dyDescent="0.25">
      <c r="J423" s="442"/>
      <c r="K423" s="442"/>
    </row>
    <row r="424" spans="10:11" x14ac:dyDescent="0.25">
      <c r="J424" s="442"/>
      <c r="K424" s="442"/>
    </row>
    <row r="425" spans="10:11" x14ac:dyDescent="0.25">
      <c r="J425" s="442"/>
      <c r="K425" s="442"/>
    </row>
    <row r="426" spans="10:11" x14ac:dyDescent="0.25">
      <c r="J426" s="442"/>
      <c r="K426" s="442"/>
    </row>
    <row r="427" spans="10:11" x14ac:dyDescent="0.25">
      <c r="J427" s="442"/>
      <c r="K427" s="442"/>
    </row>
    <row r="428" spans="10:11" x14ac:dyDescent="0.25">
      <c r="J428" s="442"/>
      <c r="K428" s="442"/>
    </row>
    <row r="429" spans="10:11" x14ac:dyDescent="0.25">
      <c r="J429" s="442"/>
      <c r="K429" s="442"/>
    </row>
    <row r="430" spans="10:11" x14ac:dyDescent="0.25">
      <c r="J430" s="442"/>
      <c r="K430" s="442"/>
    </row>
    <row r="431" spans="10:11" x14ac:dyDescent="0.25">
      <c r="J431" s="442"/>
      <c r="K431" s="442"/>
    </row>
    <row r="432" spans="10:11" x14ac:dyDescent="0.25">
      <c r="J432" s="442"/>
      <c r="K432" s="442"/>
    </row>
    <row r="433" spans="10:11" x14ac:dyDescent="0.25">
      <c r="J433" s="442"/>
      <c r="K433" s="442"/>
    </row>
    <row r="434" spans="10:11" x14ac:dyDescent="0.25">
      <c r="J434" s="442"/>
      <c r="K434" s="442"/>
    </row>
    <row r="435" spans="10:11" x14ac:dyDescent="0.25">
      <c r="J435" s="442"/>
      <c r="K435" s="442"/>
    </row>
    <row r="436" spans="10:11" x14ac:dyDescent="0.25">
      <c r="J436" s="442"/>
      <c r="K436" s="442"/>
    </row>
    <row r="437" spans="10:11" x14ac:dyDescent="0.25">
      <c r="J437" s="442"/>
      <c r="K437" s="442"/>
    </row>
    <row r="438" spans="10:11" x14ac:dyDescent="0.25">
      <c r="J438" s="442"/>
      <c r="K438" s="442"/>
    </row>
    <row r="439" spans="10:11" x14ac:dyDescent="0.25">
      <c r="J439" s="442"/>
      <c r="K439" s="442"/>
    </row>
    <row r="440" spans="10:11" x14ac:dyDescent="0.25">
      <c r="J440" s="442"/>
      <c r="K440" s="442"/>
    </row>
    <row r="441" spans="10:11" x14ac:dyDescent="0.25">
      <c r="J441" s="442"/>
      <c r="K441" s="442"/>
    </row>
    <row r="442" spans="10:11" x14ac:dyDescent="0.25">
      <c r="J442" s="442"/>
      <c r="K442" s="442"/>
    </row>
    <row r="443" spans="10:11" x14ac:dyDescent="0.25">
      <c r="J443" s="442"/>
      <c r="K443" s="442"/>
    </row>
    <row r="444" spans="10:11" x14ac:dyDescent="0.25">
      <c r="J444" s="442"/>
      <c r="K444" s="442"/>
    </row>
    <row r="445" spans="10:11" x14ac:dyDescent="0.25">
      <c r="J445" s="442"/>
      <c r="K445" s="442"/>
    </row>
    <row r="446" spans="10:11" x14ac:dyDescent="0.25">
      <c r="J446" s="442"/>
      <c r="K446" s="442"/>
    </row>
    <row r="447" spans="10:11" x14ac:dyDescent="0.25">
      <c r="J447" s="442"/>
      <c r="K447" s="442"/>
    </row>
    <row r="448" spans="10:11" x14ac:dyDescent="0.25">
      <c r="J448" s="442"/>
      <c r="K448" s="442"/>
    </row>
    <row r="449" spans="10:11" x14ac:dyDescent="0.25">
      <c r="J449" s="442"/>
      <c r="K449" s="442"/>
    </row>
    <row r="450" spans="10:11" x14ac:dyDescent="0.25">
      <c r="J450" s="442"/>
      <c r="K450" s="442"/>
    </row>
    <row r="451" spans="10:11" x14ac:dyDescent="0.25">
      <c r="J451" s="442"/>
      <c r="K451" s="442"/>
    </row>
    <row r="452" spans="10:11" x14ac:dyDescent="0.25">
      <c r="J452" s="442"/>
      <c r="K452" s="442"/>
    </row>
    <row r="453" spans="10:11" x14ac:dyDescent="0.25">
      <c r="J453" s="442"/>
      <c r="K453" s="442"/>
    </row>
    <row r="454" spans="10:11" x14ac:dyDescent="0.25">
      <c r="J454" s="442"/>
      <c r="K454" s="442"/>
    </row>
    <row r="455" spans="10:11" x14ac:dyDescent="0.25">
      <c r="J455" s="442"/>
      <c r="K455" s="442"/>
    </row>
    <row r="456" spans="10:11" x14ac:dyDescent="0.25">
      <c r="J456" s="442"/>
      <c r="K456" s="442"/>
    </row>
    <row r="457" spans="10:11" x14ac:dyDescent="0.25">
      <c r="J457" s="442"/>
      <c r="K457" s="442"/>
    </row>
    <row r="458" spans="10:11" x14ac:dyDescent="0.25">
      <c r="J458" s="442"/>
      <c r="K458" s="442"/>
    </row>
    <row r="459" spans="10:11" x14ac:dyDescent="0.25">
      <c r="J459" s="442"/>
      <c r="K459" s="442"/>
    </row>
    <row r="460" spans="10:11" x14ac:dyDescent="0.25">
      <c r="J460" s="442"/>
      <c r="K460" s="442"/>
    </row>
    <row r="461" spans="10:11" x14ac:dyDescent="0.25">
      <c r="J461" s="442"/>
      <c r="K461" s="442"/>
    </row>
    <row r="462" spans="10:11" x14ac:dyDescent="0.25">
      <c r="J462" s="442"/>
      <c r="K462" s="442"/>
    </row>
    <row r="463" spans="10:11" x14ac:dyDescent="0.25">
      <c r="J463" s="442"/>
      <c r="K463" s="442"/>
    </row>
    <row r="464" spans="10:11" x14ac:dyDescent="0.25">
      <c r="J464" s="442"/>
      <c r="K464" s="442"/>
    </row>
    <row r="465" spans="10:11" x14ac:dyDescent="0.25">
      <c r="J465" s="442"/>
      <c r="K465" s="442"/>
    </row>
    <row r="466" spans="10:11" x14ac:dyDescent="0.25">
      <c r="J466" s="442"/>
      <c r="K466" s="442"/>
    </row>
    <row r="467" spans="10:11" x14ac:dyDescent="0.25">
      <c r="J467" s="442"/>
      <c r="K467" s="442"/>
    </row>
    <row r="468" spans="10:11" x14ac:dyDescent="0.25">
      <c r="J468" s="442"/>
      <c r="K468" s="442"/>
    </row>
    <row r="469" spans="10:11" x14ac:dyDescent="0.25">
      <c r="J469" s="442"/>
      <c r="K469" s="442"/>
    </row>
    <row r="470" spans="10:11" x14ac:dyDescent="0.25">
      <c r="J470" s="442"/>
      <c r="K470" s="442"/>
    </row>
    <row r="471" spans="10:11" x14ac:dyDescent="0.25">
      <c r="J471" s="442"/>
      <c r="K471" s="442"/>
    </row>
    <row r="472" spans="10:11" x14ac:dyDescent="0.25">
      <c r="J472" s="442"/>
      <c r="K472" s="442"/>
    </row>
    <row r="473" spans="10:11" x14ac:dyDescent="0.25">
      <c r="J473" s="442"/>
      <c r="K473" s="442"/>
    </row>
    <row r="474" spans="10:11" x14ac:dyDescent="0.25">
      <c r="J474" s="442"/>
      <c r="K474" s="442"/>
    </row>
    <row r="475" spans="10:11" x14ac:dyDescent="0.25">
      <c r="J475" s="442"/>
      <c r="K475" s="442"/>
    </row>
    <row r="476" spans="10:11" x14ac:dyDescent="0.25">
      <c r="J476" s="442"/>
      <c r="K476" s="442"/>
    </row>
    <row r="477" spans="10:11" x14ac:dyDescent="0.25">
      <c r="J477" s="442"/>
      <c r="K477" s="442"/>
    </row>
    <row r="478" spans="10:11" x14ac:dyDescent="0.25">
      <c r="J478" s="442"/>
      <c r="K478" s="442"/>
    </row>
    <row r="479" spans="10:11" x14ac:dyDescent="0.25">
      <c r="J479" s="442"/>
      <c r="K479" s="442"/>
    </row>
    <row r="480" spans="10:11" x14ac:dyDescent="0.25">
      <c r="J480" s="442"/>
      <c r="K480" s="442"/>
    </row>
    <row r="481" spans="10:11" x14ac:dyDescent="0.25">
      <c r="J481" s="442"/>
      <c r="K481" s="442"/>
    </row>
    <row r="482" spans="10:11" x14ac:dyDescent="0.25">
      <c r="J482" s="442"/>
      <c r="K482" s="442"/>
    </row>
    <row r="483" spans="10:11" x14ac:dyDescent="0.25">
      <c r="J483" s="442"/>
      <c r="K483" s="442"/>
    </row>
    <row r="484" spans="10:11" x14ac:dyDescent="0.25">
      <c r="J484" s="442"/>
      <c r="K484" s="442"/>
    </row>
    <row r="485" spans="10:11" x14ac:dyDescent="0.25">
      <c r="J485" s="442"/>
      <c r="K485" s="442"/>
    </row>
    <row r="486" spans="10:11" x14ac:dyDescent="0.25">
      <c r="J486" s="442"/>
      <c r="K486" s="442"/>
    </row>
    <row r="487" spans="10:11" x14ac:dyDescent="0.25">
      <c r="J487" s="442"/>
      <c r="K487" s="442"/>
    </row>
    <row r="488" spans="10:11" x14ac:dyDescent="0.25">
      <c r="J488" s="442"/>
      <c r="K488" s="442"/>
    </row>
    <row r="489" spans="10:11" x14ac:dyDescent="0.25">
      <c r="J489" s="442"/>
      <c r="K489" s="442"/>
    </row>
    <row r="490" spans="10:11" x14ac:dyDescent="0.25">
      <c r="J490" s="442"/>
      <c r="K490" s="442"/>
    </row>
    <row r="491" spans="10:11" x14ac:dyDescent="0.25">
      <c r="J491" s="442"/>
      <c r="K491" s="442"/>
    </row>
    <row r="492" spans="10:11" x14ac:dyDescent="0.25">
      <c r="J492" s="442"/>
      <c r="K492" s="442"/>
    </row>
    <row r="493" spans="10:11" x14ac:dyDescent="0.25">
      <c r="J493" s="442"/>
      <c r="K493" s="442"/>
    </row>
    <row r="494" spans="10:11" x14ac:dyDescent="0.25">
      <c r="J494" s="442"/>
      <c r="K494" s="442"/>
    </row>
    <row r="495" spans="10:11" x14ac:dyDescent="0.25">
      <c r="J495" s="442"/>
      <c r="K495" s="442"/>
    </row>
    <row r="496" spans="10:11" x14ac:dyDescent="0.25">
      <c r="J496" s="442"/>
      <c r="K496" s="442"/>
    </row>
    <row r="497" spans="10:11" x14ac:dyDescent="0.25">
      <c r="J497" s="442"/>
      <c r="K497" s="442"/>
    </row>
    <row r="498" spans="10:11" x14ac:dyDescent="0.25">
      <c r="J498" s="442"/>
      <c r="K498" s="442"/>
    </row>
    <row r="499" spans="10:11" x14ac:dyDescent="0.25">
      <c r="J499" s="442"/>
      <c r="K499" s="442"/>
    </row>
    <row r="500" spans="10:11" x14ac:dyDescent="0.25">
      <c r="J500" s="442"/>
      <c r="K500" s="442"/>
    </row>
    <row r="501" spans="10:11" x14ac:dyDescent="0.25">
      <c r="J501" s="442"/>
      <c r="K501" s="442"/>
    </row>
    <row r="502" spans="10:11" x14ac:dyDescent="0.25">
      <c r="J502" s="442"/>
      <c r="K502" s="442"/>
    </row>
    <row r="503" spans="10:11" x14ac:dyDescent="0.25">
      <c r="J503" s="442"/>
      <c r="K503" s="442"/>
    </row>
    <row r="504" spans="10:11" x14ac:dyDescent="0.25">
      <c r="J504" s="442"/>
      <c r="K504" s="442"/>
    </row>
    <row r="505" spans="10:11" x14ac:dyDescent="0.25">
      <c r="J505" s="442"/>
      <c r="K505" s="442"/>
    </row>
    <row r="506" spans="10:11" x14ac:dyDescent="0.25">
      <c r="J506" s="442"/>
      <c r="K506" s="442"/>
    </row>
    <row r="507" spans="10:11" x14ac:dyDescent="0.25">
      <c r="J507" s="442"/>
      <c r="K507" s="442"/>
    </row>
    <row r="508" spans="10:11" x14ac:dyDescent="0.25">
      <c r="J508" s="442"/>
      <c r="K508" s="442"/>
    </row>
    <row r="509" spans="10:11" x14ac:dyDescent="0.25">
      <c r="J509" s="442"/>
      <c r="K509" s="442"/>
    </row>
    <row r="510" spans="10:11" x14ac:dyDescent="0.25">
      <c r="J510" s="442"/>
      <c r="K510" s="442"/>
    </row>
    <row r="511" spans="10:11" x14ac:dyDescent="0.25">
      <c r="J511" s="442"/>
      <c r="K511" s="442"/>
    </row>
    <row r="512" spans="10:11" x14ac:dyDescent="0.25">
      <c r="J512" s="442"/>
      <c r="K512" s="442"/>
    </row>
    <row r="513" spans="10:11" x14ac:dyDescent="0.25">
      <c r="J513" s="442"/>
      <c r="K513" s="442"/>
    </row>
    <row r="514" spans="10:11" x14ac:dyDescent="0.25">
      <c r="J514" s="442"/>
      <c r="K514" s="442"/>
    </row>
    <row r="515" spans="10:11" x14ac:dyDescent="0.25">
      <c r="J515" s="442"/>
      <c r="K515" s="442"/>
    </row>
    <row r="516" spans="10:11" x14ac:dyDescent="0.25">
      <c r="J516" s="442"/>
      <c r="K516" s="442"/>
    </row>
    <row r="517" spans="10:11" x14ac:dyDescent="0.25">
      <c r="J517" s="442"/>
      <c r="K517" s="442"/>
    </row>
    <row r="518" spans="10:11" x14ac:dyDescent="0.25">
      <c r="J518" s="442"/>
      <c r="K518" s="442"/>
    </row>
    <row r="519" spans="10:11" x14ac:dyDescent="0.25">
      <c r="J519" s="442"/>
      <c r="K519" s="442"/>
    </row>
    <row r="520" spans="10:11" x14ac:dyDescent="0.25">
      <c r="J520" s="442"/>
      <c r="K520" s="442"/>
    </row>
    <row r="521" spans="10:11" x14ac:dyDescent="0.25">
      <c r="J521" s="442"/>
      <c r="K521" s="442"/>
    </row>
    <row r="522" spans="10:11" x14ac:dyDescent="0.25">
      <c r="J522" s="442"/>
      <c r="K522" s="442"/>
    </row>
    <row r="523" spans="10:11" x14ac:dyDescent="0.25">
      <c r="J523" s="442"/>
      <c r="K523" s="442"/>
    </row>
    <row r="524" spans="10:11" x14ac:dyDescent="0.25">
      <c r="J524" s="442"/>
      <c r="K524" s="442"/>
    </row>
    <row r="525" spans="10:11" x14ac:dyDescent="0.25">
      <c r="J525" s="442"/>
      <c r="K525" s="442"/>
    </row>
    <row r="526" spans="10:11" x14ac:dyDescent="0.25">
      <c r="J526" s="442"/>
      <c r="K526" s="442"/>
    </row>
    <row r="527" spans="10:11" x14ac:dyDescent="0.25">
      <c r="J527" s="442"/>
      <c r="K527" s="442"/>
    </row>
    <row r="528" spans="10:11" x14ac:dyDescent="0.25">
      <c r="J528" s="442"/>
      <c r="K528" s="442"/>
    </row>
    <row r="529" spans="10:11" x14ac:dyDescent="0.25">
      <c r="J529" s="442"/>
      <c r="K529" s="442"/>
    </row>
    <row r="530" spans="10:11" x14ac:dyDescent="0.25">
      <c r="J530" s="442"/>
      <c r="K530" s="442"/>
    </row>
    <row r="531" spans="10:11" x14ac:dyDescent="0.25">
      <c r="J531" s="442"/>
      <c r="K531" s="442"/>
    </row>
    <row r="532" spans="10:11" x14ac:dyDescent="0.25">
      <c r="J532" s="442"/>
      <c r="K532" s="442"/>
    </row>
    <row r="533" spans="10:11" x14ac:dyDescent="0.25">
      <c r="J533" s="442"/>
      <c r="K533" s="442"/>
    </row>
    <row r="534" spans="10:11" x14ac:dyDescent="0.25">
      <c r="J534" s="442"/>
      <c r="K534" s="442"/>
    </row>
    <row r="535" spans="10:11" x14ac:dyDescent="0.25">
      <c r="J535" s="442"/>
      <c r="K535" s="442"/>
    </row>
    <row r="536" spans="10:11" x14ac:dyDescent="0.25">
      <c r="J536" s="442"/>
      <c r="K536" s="442"/>
    </row>
    <row r="537" spans="10:11" x14ac:dyDescent="0.25">
      <c r="J537" s="442"/>
      <c r="K537" s="442"/>
    </row>
    <row r="538" spans="10:11" x14ac:dyDescent="0.25">
      <c r="J538" s="442"/>
      <c r="K538" s="442"/>
    </row>
    <row r="539" spans="10:11" x14ac:dyDescent="0.25">
      <c r="J539" s="442"/>
      <c r="K539" s="442"/>
    </row>
    <row r="540" spans="10:11" x14ac:dyDescent="0.25">
      <c r="J540" s="442"/>
      <c r="K540" s="442"/>
    </row>
    <row r="541" spans="10:11" x14ac:dyDescent="0.25">
      <c r="J541" s="442"/>
      <c r="K541" s="442"/>
    </row>
    <row r="542" spans="10:11" x14ac:dyDescent="0.25">
      <c r="J542" s="442"/>
      <c r="K542" s="442"/>
    </row>
    <row r="543" spans="10:11" x14ac:dyDescent="0.25">
      <c r="J543" s="442"/>
      <c r="K543" s="442"/>
    </row>
    <row r="544" spans="10:11" x14ac:dyDescent="0.25">
      <c r="J544" s="442"/>
      <c r="K544" s="442"/>
    </row>
    <row r="545" spans="10:11" x14ac:dyDescent="0.25">
      <c r="J545" s="442"/>
      <c r="K545" s="442"/>
    </row>
    <row r="546" spans="10:11" x14ac:dyDescent="0.25">
      <c r="J546" s="442"/>
      <c r="K546" s="442"/>
    </row>
    <row r="547" spans="10:11" x14ac:dyDescent="0.25">
      <c r="J547" s="442"/>
      <c r="K547" s="442"/>
    </row>
    <row r="548" spans="10:11" x14ac:dyDescent="0.25">
      <c r="J548" s="442"/>
      <c r="K548" s="442"/>
    </row>
    <row r="549" spans="10:11" x14ac:dyDescent="0.25">
      <c r="J549" s="442"/>
      <c r="K549" s="442"/>
    </row>
    <row r="550" spans="10:11" x14ac:dyDescent="0.25">
      <c r="J550" s="442"/>
      <c r="K550" s="442"/>
    </row>
    <row r="551" spans="10:11" x14ac:dyDescent="0.25">
      <c r="J551" s="442"/>
      <c r="K551" s="442"/>
    </row>
    <row r="552" spans="10:11" x14ac:dyDescent="0.25">
      <c r="J552" s="442"/>
      <c r="K552" s="442"/>
    </row>
    <row r="553" spans="10:11" x14ac:dyDescent="0.25">
      <c r="J553" s="442"/>
      <c r="K553" s="442"/>
    </row>
    <row r="554" spans="10:11" x14ac:dyDescent="0.25">
      <c r="J554" s="442"/>
      <c r="K554" s="442"/>
    </row>
    <row r="555" spans="10:11" x14ac:dyDescent="0.25">
      <c r="J555" s="442"/>
      <c r="K555" s="442"/>
    </row>
    <row r="556" spans="10:11" x14ac:dyDescent="0.25">
      <c r="J556" s="442"/>
      <c r="K556" s="442"/>
    </row>
    <row r="557" spans="10:11" x14ac:dyDescent="0.25">
      <c r="J557" s="442"/>
      <c r="K557" s="442"/>
    </row>
    <row r="558" spans="10:11" x14ac:dyDescent="0.25">
      <c r="J558" s="442"/>
      <c r="K558" s="442"/>
    </row>
    <row r="559" spans="10:11" x14ac:dyDescent="0.25">
      <c r="J559" s="442"/>
      <c r="K559" s="442"/>
    </row>
    <row r="560" spans="10:11" x14ac:dyDescent="0.25">
      <c r="J560" s="442"/>
      <c r="K560" s="442"/>
    </row>
    <row r="561" spans="10:11" x14ac:dyDescent="0.25">
      <c r="J561" s="442"/>
      <c r="K561" s="442"/>
    </row>
    <row r="562" spans="10:11" x14ac:dyDescent="0.25">
      <c r="J562" s="442"/>
      <c r="K562" s="442"/>
    </row>
    <row r="563" spans="10:11" x14ac:dyDescent="0.25">
      <c r="J563" s="442"/>
      <c r="K563" s="442"/>
    </row>
    <row r="564" spans="10:11" x14ac:dyDescent="0.25">
      <c r="J564" s="442"/>
      <c r="K564" s="442"/>
    </row>
    <row r="565" spans="10:11" x14ac:dyDescent="0.25">
      <c r="J565" s="442"/>
      <c r="K565" s="442"/>
    </row>
    <row r="566" spans="10:11" x14ac:dyDescent="0.25">
      <c r="J566" s="442"/>
      <c r="K566" s="442"/>
    </row>
    <row r="567" spans="10:11" x14ac:dyDescent="0.25">
      <c r="J567" s="442"/>
      <c r="K567" s="442"/>
    </row>
    <row r="568" spans="10:11" x14ac:dyDescent="0.25">
      <c r="J568" s="442"/>
      <c r="K568" s="442"/>
    </row>
    <row r="569" spans="10:11" x14ac:dyDescent="0.25">
      <c r="J569" s="442"/>
      <c r="K569" s="442"/>
    </row>
    <row r="570" spans="10:11" x14ac:dyDescent="0.25">
      <c r="J570" s="442"/>
      <c r="K570" s="442"/>
    </row>
    <row r="571" spans="10:11" x14ac:dyDescent="0.25">
      <c r="J571" s="442"/>
      <c r="K571" s="442"/>
    </row>
    <row r="572" spans="10:11" x14ac:dyDescent="0.25">
      <c r="J572" s="442"/>
      <c r="K572" s="442"/>
    </row>
    <row r="573" spans="10:11" x14ac:dyDescent="0.25">
      <c r="J573" s="442"/>
      <c r="K573" s="442"/>
    </row>
    <row r="574" spans="10:11" x14ac:dyDescent="0.25">
      <c r="J574" s="442"/>
      <c r="K574" s="442"/>
    </row>
    <row r="575" spans="10:11" x14ac:dyDescent="0.25">
      <c r="J575" s="442"/>
      <c r="K575" s="442"/>
    </row>
    <row r="576" spans="10:11" x14ac:dyDescent="0.25">
      <c r="J576" s="442"/>
      <c r="K576" s="442"/>
    </row>
    <row r="577" spans="10:11" x14ac:dyDescent="0.25">
      <c r="J577" s="442"/>
      <c r="K577" s="442"/>
    </row>
    <row r="578" spans="10:11" x14ac:dyDescent="0.25">
      <c r="J578" s="442"/>
      <c r="K578" s="442"/>
    </row>
    <row r="579" spans="10:11" x14ac:dyDescent="0.25">
      <c r="J579" s="442"/>
      <c r="K579" s="442"/>
    </row>
    <row r="580" spans="10:11" x14ac:dyDescent="0.25">
      <c r="J580" s="442"/>
      <c r="K580" s="442"/>
    </row>
    <row r="581" spans="10:11" x14ac:dyDescent="0.25">
      <c r="J581" s="442"/>
      <c r="K581" s="442"/>
    </row>
    <row r="582" spans="10:11" x14ac:dyDescent="0.25">
      <c r="J582" s="442"/>
      <c r="K582" s="442"/>
    </row>
    <row r="583" spans="10:11" x14ac:dyDescent="0.25">
      <c r="J583" s="442"/>
      <c r="K583" s="442"/>
    </row>
    <row r="584" spans="10:11" x14ac:dyDescent="0.25">
      <c r="J584" s="442"/>
      <c r="K584" s="442"/>
    </row>
    <row r="585" spans="10:11" x14ac:dyDescent="0.25">
      <c r="J585" s="442"/>
      <c r="K585" s="442"/>
    </row>
    <row r="586" spans="10:11" x14ac:dyDescent="0.25">
      <c r="J586" s="442"/>
      <c r="K586" s="442"/>
    </row>
    <row r="587" spans="10:11" x14ac:dyDescent="0.25">
      <c r="J587" s="442"/>
      <c r="K587" s="442"/>
    </row>
    <row r="588" spans="10:11" x14ac:dyDescent="0.25">
      <c r="J588" s="442"/>
      <c r="K588" s="442"/>
    </row>
    <row r="589" spans="10:11" x14ac:dyDescent="0.25">
      <c r="J589" s="442"/>
      <c r="K589" s="442"/>
    </row>
    <row r="590" spans="10:11" x14ac:dyDescent="0.25">
      <c r="J590" s="442"/>
      <c r="K590" s="442"/>
    </row>
    <row r="591" spans="10:11" x14ac:dyDescent="0.25">
      <c r="J591" s="442"/>
      <c r="K591" s="442"/>
    </row>
    <row r="592" spans="10:11" x14ac:dyDescent="0.25">
      <c r="J592" s="442"/>
      <c r="K592" s="442"/>
    </row>
    <row r="593" spans="10:11" x14ac:dyDescent="0.25">
      <c r="J593" s="442"/>
      <c r="K593" s="442"/>
    </row>
    <row r="594" spans="10:11" x14ac:dyDescent="0.25">
      <c r="J594" s="442"/>
      <c r="K594" s="442"/>
    </row>
    <row r="595" spans="10:11" x14ac:dyDescent="0.25">
      <c r="J595" s="442"/>
      <c r="K595" s="442"/>
    </row>
    <row r="596" spans="10:11" x14ac:dyDescent="0.25">
      <c r="J596" s="442"/>
      <c r="K596" s="442"/>
    </row>
    <row r="597" spans="10:11" x14ac:dyDescent="0.25">
      <c r="J597" s="442"/>
      <c r="K597" s="442"/>
    </row>
    <row r="598" spans="10:11" x14ac:dyDescent="0.25">
      <c r="J598" s="442"/>
      <c r="K598" s="442"/>
    </row>
    <row r="599" spans="10:11" x14ac:dyDescent="0.25">
      <c r="J599" s="442"/>
      <c r="K599" s="442"/>
    </row>
    <row r="600" spans="10:11" x14ac:dyDescent="0.25">
      <c r="J600" s="442"/>
      <c r="K600" s="442"/>
    </row>
    <row r="601" spans="10:11" x14ac:dyDescent="0.25">
      <c r="J601" s="442"/>
      <c r="K601" s="442"/>
    </row>
    <row r="602" spans="10:11" x14ac:dyDescent="0.25">
      <c r="J602" s="442"/>
      <c r="K602" s="442"/>
    </row>
    <row r="603" spans="10:11" x14ac:dyDescent="0.25">
      <c r="J603" s="442"/>
      <c r="K603" s="442"/>
    </row>
    <row r="604" spans="10:11" x14ac:dyDescent="0.25">
      <c r="J604" s="442"/>
      <c r="K604" s="442"/>
    </row>
    <row r="605" spans="10:11" x14ac:dyDescent="0.25">
      <c r="J605" s="442"/>
      <c r="K605" s="442"/>
    </row>
    <row r="606" spans="10:11" x14ac:dyDescent="0.25">
      <c r="J606" s="442"/>
      <c r="K606" s="442"/>
    </row>
    <row r="607" spans="10:11" x14ac:dyDescent="0.25">
      <c r="J607" s="442"/>
      <c r="K607" s="442"/>
    </row>
    <row r="608" spans="10:11" x14ac:dyDescent="0.25">
      <c r="J608" s="442"/>
      <c r="K608" s="442"/>
    </row>
    <row r="609" spans="10:11" x14ac:dyDescent="0.25">
      <c r="J609" s="442"/>
      <c r="K609" s="442"/>
    </row>
    <row r="610" spans="10:11" x14ac:dyDescent="0.25">
      <c r="J610" s="442"/>
      <c r="K610" s="442"/>
    </row>
    <row r="611" spans="10:11" x14ac:dyDescent="0.25">
      <c r="J611" s="442"/>
      <c r="K611" s="442"/>
    </row>
    <row r="612" spans="10:11" x14ac:dyDescent="0.25">
      <c r="J612" s="442"/>
      <c r="K612" s="442"/>
    </row>
    <row r="613" spans="10:11" x14ac:dyDescent="0.25">
      <c r="J613" s="442"/>
      <c r="K613" s="442"/>
    </row>
    <row r="614" spans="10:11" x14ac:dyDescent="0.25">
      <c r="J614" s="442"/>
      <c r="K614" s="442"/>
    </row>
    <row r="615" spans="10:11" x14ac:dyDescent="0.25">
      <c r="J615" s="442"/>
      <c r="K615" s="442"/>
    </row>
    <row r="616" spans="10:11" x14ac:dyDescent="0.25">
      <c r="J616" s="442"/>
      <c r="K616" s="442"/>
    </row>
    <row r="617" spans="10:11" x14ac:dyDescent="0.25">
      <c r="J617" s="442"/>
      <c r="K617" s="442"/>
    </row>
    <row r="618" spans="10:11" x14ac:dyDescent="0.25">
      <c r="J618" s="442"/>
      <c r="K618" s="442"/>
    </row>
    <row r="619" spans="10:11" x14ac:dyDescent="0.25">
      <c r="J619" s="442"/>
      <c r="K619" s="442"/>
    </row>
    <row r="620" spans="10:11" x14ac:dyDescent="0.25">
      <c r="J620" s="442"/>
      <c r="K620" s="442"/>
    </row>
    <row r="621" spans="10:11" x14ac:dyDescent="0.25">
      <c r="J621" s="442"/>
      <c r="K621" s="442"/>
    </row>
    <row r="622" spans="10:11" x14ac:dyDescent="0.25">
      <c r="J622" s="442"/>
      <c r="K622" s="442"/>
    </row>
    <row r="623" spans="10:11" x14ac:dyDescent="0.25">
      <c r="J623" s="442"/>
      <c r="K623" s="442"/>
    </row>
    <row r="624" spans="10:11" x14ac:dyDescent="0.25">
      <c r="J624" s="442"/>
      <c r="K624" s="442"/>
    </row>
    <row r="625" spans="10:11" x14ac:dyDescent="0.25">
      <c r="J625" s="442"/>
      <c r="K625" s="442"/>
    </row>
    <row r="626" spans="10:11" x14ac:dyDescent="0.25">
      <c r="J626" s="442"/>
      <c r="K626" s="442"/>
    </row>
    <row r="627" spans="10:11" x14ac:dyDescent="0.25">
      <c r="J627" s="442"/>
      <c r="K627" s="442"/>
    </row>
    <row r="628" spans="10:11" x14ac:dyDescent="0.25">
      <c r="J628" s="442"/>
      <c r="K628" s="442"/>
    </row>
    <row r="629" spans="10:11" x14ac:dyDescent="0.25">
      <c r="J629" s="442"/>
      <c r="K629" s="442"/>
    </row>
    <row r="630" spans="10:11" x14ac:dyDescent="0.25">
      <c r="J630" s="442"/>
      <c r="K630" s="442"/>
    </row>
    <row r="631" spans="10:11" x14ac:dyDescent="0.25">
      <c r="J631" s="442"/>
      <c r="K631" s="442"/>
    </row>
    <row r="632" spans="10:11" x14ac:dyDescent="0.25">
      <c r="J632" s="442"/>
      <c r="K632" s="442"/>
    </row>
    <row r="633" spans="10:11" x14ac:dyDescent="0.25">
      <c r="J633" s="442"/>
      <c r="K633" s="442"/>
    </row>
    <row r="634" spans="10:11" x14ac:dyDescent="0.25">
      <c r="J634" s="442"/>
      <c r="K634" s="442"/>
    </row>
    <row r="635" spans="10:11" x14ac:dyDescent="0.25">
      <c r="J635" s="442"/>
      <c r="K635" s="442"/>
    </row>
    <row r="636" spans="10:11" x14ac:dyDescent="0.25">
      <c r="J636" s="442"/>
      <c r="K636" s="442"/>
    </row>
    <row r="637" spans="10:11" x14ac:dyDescent="0.25">
      <c r="J637" s="442"/>
      <c r="K637" s="442"/>
    </row>
    <row r="638" spans="10:11" x14ac:dyDescent="0.25">
      <c r="J638" s="442"/>
      <c r="K638" s="442"/>
    </row>
    <row r="639" spans="10:11" x14ac:dyDescent="0.25">
      <c r="J639" s="442"/>
      <c r="K639" s="442"/>
    </row>
    <row r="640" spans="10:11" x14ac:dyDescent="0.25">
      <c r="J640" s="442"/>
      <c r="K640" s="442"/>
    </row>
    <row r="641" spans="10:11" x14ac:dyDescent="0.25">
      <c r="J641" s="442"/>
      <c r="K641" s="442"/>
    </row>
    <row r="642" spans="10:11" x14ac:dyDescent="0.25">
      <c r="J642" s="442"/>
      <c r="K642" s="442"/>
    </row>
    <row r="643" spans="10:11" x14ac:dyDescent="0.25">
      <c r="J643" s="442"/>
      <c r="K643" s="442"/>
    </row>
    <row r="644" spans="10:11" x14ac:dyDescent="0.25">
      <c r="J644" s="442"/>
      <c r="K644" s="442"/>
    </row>
    <row r="645" spans="10:11" x14ac:dyDescent="0.25">
      <c r="J645" s="442"/>
      <c r="K645" s="442"/>
    </row>
    <row r="646" spans="10:11" x14ac:dyDescent="0.25">
      <c r="J646" s="442"/>
      <c r="K646" s="442"/>
    </row>
    <row r="647" spans="10:11" x14ac:dyDescent="0.25">
      <c r="J647" s="442"/>
      <c r="K647" s="442"/>
    </row>
    <row r="648" spans="10:11" x14ac:dyDescent="0.25">
      <c r="J648" s="442"/>
      <c r="K648" s="442"/>
    </row>
    <row r="649" spans="10:11" x14ac:dyDescent="0.25">
      <c r="J649" s="442"/>
      <c r="K649" s="442"/>
    </row>
    <row r="650" spans="10:11" x14ac:dyDescent="0.25">
      <c r="J650" s="442"/>
      <c r="K650" s="442"/>
    </row>
    <row r="651" spans="10:11" x14ac:dyDescent="0.25">
      <c r="J651" s="442"/>
      <c r="K651" s="442"/>
    </row>
    <row r="652" spans="10:11" x14ac:dyDescent="0.25">
      <c r="J652" s="442"/>
      <c r="K652" s="442"/>
    </row>
    <row r="653" spans="10:11" x14ac:dyDescent="0.25">
      <c r="J653" s="442"/>
      <c r="K653" s="442"/>
    </row>
    <row r="654" spans="10:11" x14ac:dyDescent="0.25">
      <c r="J654" s="442"/>
      <c r="K654" s="442"/>
    </row>
    <row r="655" spans="10:11" x14ac:dyDescent="0.25">
      <c r="J655" s="442"/>
      <c r="K655" s="442"/>
    </row>
    <row r="656" spans="10:11" x14ac:dyDescent="0.25">
      <c r="J656" s="442"/>
      <c r="K656" s="442"/>
    </row>
    <row r="657" spans="10:11" x14ac:dyDescent="0.25">
      <c r="J657" s="442"/>
      <c r="K657" s="442"/>
    </row>
    <row r="658" spans="10:11" x14ac:dyDescent="0.25">
      <c r="J658" s="442"/>
      <c r="K658" s="442"/>
    </row>
    <row r="659" spans="10:11" x14ac:dyDescent="0.25">
      <c r="J659" s="442"/>
      <c r="K659" s="442"/>
    </row>
    <row r="660" spans="10:11" x14ac:dyDescent="0.25">
      <c r="J660" s="442"/>
      <c r="K660" s="442"/>
    </row>
    <row r="661" spans="10:11" x14ac:dyDescent="0.25">
      <c r="J661" s="442"/>
      <c r="K661" s="442"/>
    </row>
    <row r="662" spans="10:11" x14ac:dyDescent="0.25">
      <c r="J662" s="442"/>
      <c r="K662" s="442"/>
    </row>
    <row r="663" spans="10:11" x14ac:dyDescent="0.25">
      <c r="J663" s="442"/>
      <c r="K663" s="442"/>
    </row>
    <row r="664" spans="10:11" x14ac:dyDescent="0.25">
      <c r="J664" s="442"/>
      <c r="K664" s="442"/>
    </row>
    <row r="665" spans="10:11" x14ac:dyDescent="0.25">
      <c r="J665" s="442"/>
      <c r="K665" s="442"/>
    </row>
    <row r="666" spans="10:11" x14ac:dyDescent="0.25">
      <c r="J666" s="442"/>
      <c r="K666" s="442"/>
    </row>
    <row r="667" spans="10:11" x14ac:dyDescent="0.25">
      <c r="J667" s="442"/>
      <c r="K667" s="442"/>
    </row>
    <row r="668" spans="10:11" x14ac:dyDescent="0.25">
      <c r="J668" s="442"/>
      <c r="K668" s="442"/>
    </row>
    <row r="669" spans="10:11" x14ac:dyDescent="0.25">
      <c r="J669" s="442"/>
      <c r="K669" s="442"/>
    </row>
    <row r="670" spans="10:11" x14ac:dyDescent="0.25">
      <c r="J670" s="442"/>
      <c r="K670" s="442"/>
    </row>
    <row r="671" spans="10:11" x14ac:dyDescent="0.25">
      <c r="J671" s="442"/>
      <c r="K671" s="442"/>
    </row>
    <row r="672" spans="10:11" x14ac:dyDescent="0.25">
      <c r="J672" s="442"/>
      <c r="K672" s="442"/>
    </row>
    <row r="673" spans="10:11" x14ac:dyDescent="0.25">
      <c r="J673" s="442"/>
      <c r="K673" s="442"/>
    </row>
    <row r="674" spans="10:11" x14ac:dyDescent="0.25">
      <c r="J674" s="442"/>
      <c r="K674" s="442"/>
    </row>
    <row r="675" spans="10:11" x14ac:dyDescent="0.25">
      <c r="J675" s="442"/>
      <c r="K675" s="442"/>
    </row>
    <row r="676" spans="10:11" x14ac:dyDescent="0.25">
      <c r="J676" s="442"/>
      <c r="K676" s="442"/>
    </row>
    <row r="677" spans="10:11" x14ac:dyDescent="0.25">
      <c r="J677" s="442"/>
      <c r="K677" s="442"/>
    </row>
    <row r="678" spans="10:11" x14ac:dyDescent="0.25">
      <c r="J678" s="442"/>
      <c r="K678" s="442"/>
    </row>
    <row r="679" spans="10:11" x14ac:dyDescent="0.25">
      <c r="J679" s="442"/>
      <c r="K679" s="442"/>
    </row>
    <row r="680" spans="10:11" x14ac:dyDescent="0.25">
      <c r="J680" s="442"/>
      <c r="K680" s="442"/>
    </row>
    <row r="681" spans="10:11" x14ac:dyDescent="0.25">
      <c r="J681" s="442"/>
      <c r="K681" s="442"/>
    </row>
    <row r="682" spans="10:11" x14ac:dyDescent="0.25">
      <c r="J682" s="442"/>
      <c r="K682" s="442"/>
    </row>
    <row r="683" spans="10:11" x14ac:dyDescent="0.25">
      <c r="J683" s="442"/>
      <c r="K683" s="442"/>
    </row>
    <row r="684" spans="10:11" x14ac:dyDescent="0.25">
      <c r="J684" s="442"/>
      <c r="K684" s="442"/>
    </row>
    <row r="685" spans="10:11" x14ac:dyDescent="0.25">
      <c r="J685" s="442"/>
      <c r="K685" s="442"/>
    </row>
    <row r="686" spans="10:11" x14ac:dyDescent="0.25">
      <c r="J686" s="442"/>
      <c r="K686" s="442"/>
    </row>
    <row r="687" spans="10:11" x14ac:dyDescent="0.25">
      <c r="J687" s="442"/>
      <c r="K687" s="442"/>
    </row>
    <row r="688" spans="10:11" x14ac:dyDescent="0.25">
      <c r="J688" s="442"/>
      <c r="K688" s="442"/>
    </row>
    <row r="689" spans="10:11" x14ac:dyDescent="0.25">
      <c r="J689" s="442"/>
      <c r="K689" s="442"/>
    </row>
    <row r="690" spans="10:11" x14ac:dyDescent="0.25">
      <c r="J690" s="442"/>
      <c r="K690" s="442"/>
    </row>
    <row r="691" spans="10:11" x14ac:dyDescent="0.25">
      <c r="J691" s="442"/>
      <c r="K691" s="442"/>
    </row>
    <row r="692" spans="10:11" x14ac:dyDescent="0.25">
      <c r="J692" s="442"/>
      <c r="K692" s="442"/>
    </row>
    <row r="693" spans="10:11" x14ac:dyDescent="0.25">
      <c r="J693" s="442"/>
      <c r="K693" s="442"/>
    </row>
    <row r="694" spans="10:11" x14ac:dyDescent="0.25">
      <c r="J694" s="442"/>
      <c r="K694" s="442"/>
    </row>
    <row r="695" spans="10:11" x14ac:dyDescent="0.25">
      <c r="J695" s="442"/>
      <c r="K695" s="442"/>
    </row>
    <row r="696" spans="10:11" x14ac:dyDescent="0.25">
      <c r="J696" s="442"/>
      <c r="K696" s="442"/>
    </row>
    <row r="697" spans="10:11" x14ac:dyDescent="0.25">
      <c r="J697" s="442"/>
      <c r="K697" s="442"/>
    </row>
    <row r="698" spans="10:11" x14ac:dyDescent="0.25">
      <c r="J698" s="442"/>
      <c r="K698" s="442"/>
    </row>
    <row r="699" spans="10:11" x14ac:dyDescent="0.25">
      <c r="J699" s="442"/>
      <c r="K699" s="442"/>
    </row>
    <row r="700" spans="10:11" x14ac:dyDescent="0.25">
      <c r="J700" s="442"/>
      <c r="K700" s="442"/>
    </row>
    <row r="701" spans="10:11" x14ac:dyDescent="0.25">
      <c r="J701" s="442"/>
      <c r="K701" s="442"/>
    </row>
    <row r="702" spans="10:11" x14ac:dyDescent="0.25">
      <c r="J702" s="442"/>
      <c r="K702" s="442"/>
    </row>
    <row r="703" spans="10:11" x14ac:dyDescent="0.25">
      <c r="J703" s="442"/>
      <c r="K703" s="442"/>
    </row>
    <row r="704" spans="10:11" x14ac:dyDescent="0.25">
      <c r="J704" s="442"/>
      <c r="K704" s="442"/>
    </row>
    <row r="705" spans="10:11" x14ac:dyDescent="0.25">
      <c r="J705" s="442"/>
      <c r="K705" s="442"/>
    </row>
    <row r="706" spans="10:11" x14ac:dyDescent="0.25">
      <c r="J706" s="442"/>
      <c r="K706" s="442"/>
    </row>
    <row r="707" spans="10:11" x14ac:dyDescent="0.25">
      <c r="J707" s="442"/>
      <c r="K707" s="442"/>
    </row>
    <row r="708" spans="10:11" x14ac:dyDescent="0.25">
      <c r="J708" s="442"/>
      <c r="K708" s="442"/>
    </row>
    <row r="709" spans="10:11" x14ac:dyDescent="0.25">
      <c r="J709" s="442"/>
      <c r="K709" s="442"/>
    </row>
    <row r="710" spans="10:11" x14ac:dyDescent="0.25">
      <c r="J710" s="442"/>
      <c r="K710" s="442"/>
    </row>
    <row r="711" spans="10:11" x14ac:dyDescent="0.25">
      <c r="J711" s="442"/>
      <c r="K711" s="442"/>
    </row>
    <row r="712" spans="10:11" x14ac:dyDescent="0.25">
      <c r="J712" s="442"/>
      <c r="K712" s="442"/>
    </row>
    <row r="713" spans="10:11" x14ac:dyDescent="0.25">
      <c r="J713" s="442"/>
      <c r="K713" s="442"/>
    </row>
    <row r="714" spans="10:11" x14ac:dyDescent="0.25">
      <c r="J714" s="442"/>
      <c r="K714" s="442"/>
    </row>
    <row r="715" spans="10:11" x14ac:dyDescent="0.25">
      <c r="J715" s="442"/>
      <c r="K715" s="442"/>
    </row>
    <row r="716" spans="10:11" x14ac:dyDescent="0.25">
      <c r="J716" s="442"/>
      <c r="K716" s="442"/>
    </row>
    <row r="717" spans="10:11" x14ac:dyDescent="0.25">
      <c r="J717" s="442"/>
      <c r="K717" s="442"/>
    </row>
    <row r="718" spans="10:11" x14ac:dyDescent="0.25">
      <c r="J718" s="442"/>
      <c r="K718" s="442"/>
    </row>
    <row r="719" spans="10:11" x14ac:dyDescent="0.25">
      <c r="J719" s="442"/>
      <c r="K719" s="442"/>
    </row>
    <row r="720" spans="10:11" x14ac:dyDescent="0.25">
      <c r="J720" s="442"/>
      <c r="K720" s="442"/>
    </row>
    <row r="721" spans="10:11" x14ac:dyDescent="0.25">
      <c r="J721" s="442"/>
      <c r="K721" s="442"/>
    </row>
    <row r="722" spans="10:11" x14ac:dyDescent="0.25">
      <c r="J722" s="442"/>
      <c r="K722" s="442"/>
    </row>
    <row r="723" spans="10:11" x14ac:dyDescent="0.25">
      <c r="J723" s="442"/>
      <c r="K723" s="442"/>
    </row>
    <row r="724" spans="10:11" x14ac:dyDescent="0.25">
      <c r="J724" s="442"/>
      <c r="K724" s="442"/>
    </row>
    <row r="725" spans="10:11" x14ac:dyDescent="0.25">
      <c r="J725" s="442"/>
      <c r="K725" s="442"/>
    </row>
    <row r="726" spans="10:11" x14ac:dyDescent="0.25">
      <c r="J726" s="442"/>
      <c r="K726" s="442"/>
    </row>
    <row r="727" spans="10:11" x14ac:dyDescent="0.25">
      <c r="J727" s="442"/>
      <c r="K727" s="442"/>
    </row>
    <row r="728" spans="10:11" x14ac:dyDescent="0.25">
      <c r="J728" s="442"/>
      <c r="K728" s="442"/>
    </row>
    <row r="729" spans="10:11" x14ac:dyDescent="0.25">
      <c r="J729" s="442"/>
      <c r="K729" s="442"/>
    </row>
    <row r="730" spans="10:11" x14ac:dyDescent="0.25">
      <c r="J730" s="442"/>
      <c r="K730" s="442"/>
    </row>
    <row r="731" spans="10:11" x14ac:dyDescent="0.25">
      <c r="J731" s="442"/>
      <c r="K731" s="442"/>
    </row>
    <row r="732" spans="10:11" x14ac:dyDescent="0.25">
      <c r="J732" s="442"/>
      <c r="K732" s="442"/>
    </row>
    <row r="733" spans="10:11" x14ac:dyDescent="0.25">
      <c r="J733" s="442"/>
      <c r="K733" s="442"/>
    </row>
    <row r="734" spans="10:11" x14ac:dyDescent="0.25">
      <c r="J734" s="442"/>
      <c r="K734" s="442"/>
    </row>
    <row r="735" spans="10:11" x14ac:dyDescent="0.25">
      <c r="J735" s="442"/>
      <c r="K735" s="442"/>
    </row>
    <row r="736" spans="10:11" x14ac:dyDescent="0.25">
      <c r="J736" s="442"/>
      <c r="K736" s="442"/>
    </row>
    <row r="737" spans="10:11" x14ac:dyDescent="0.25">
      <c r="J737" s="442"/>
      <c r="K737" s="442"/>
    </row>
    <row r="738" spans="10:11" x14ac:dyDescent="0.25">
      <c r="J738" s="442"/>
      <c r="K738" s="442"/>
    </row>
    <row r="739" spans="10:11" x14ac:dyDescent="0.25">
      <c r="J739" s="442"/>
      <c r="K739" s="442"/>
    </row>
    <row r="740" spans="10:11" x14ac:dyDescent="0.25">
      <c r="J740" s="442"/>
      <c r="K740" s="442"/>
    </row>
    <row r="741" spans="10:11" x14ac:dyDescent="0.25">
      <c r="J741" s="442"/>
      <c r="K741" s="442"/>
    </row>
    <row r="742" spans="10:11" x14ac:dyDescent="0.25">
      <c r="J742" s="442"/>
      <c r="K742" s="442"/>
    </row>
    <row r="743" spans="10:11" x14ac:dyDescent="0.25">
      <c r="J743" s="442"/>
      <c r="K743" s="442"/>
    </row>
    <row r="744" spans="10:11" x14ac:dyDescent="0.25">
      <c r="J744" s="442"/>
      <c r="K744" s="442"/>
    </row>
    <row r="745" spans="10:11" x14ac:dyDescent="0.25">
      <c r="J745" s="442"/>
      <c r="K745" s="442"/>
    </row>
    <row r="746" spans="10:11" x14ac:dyDescent="0.25">
      <c r="J746" s="442"/>
      <c r="K746" s="442"/>
    </row>
    <row r="747" spans="10:11" x14ac:dyDescent="0.25">
      <c r="J747" s="442"/>
      <c r="K747" s="442"/>
    </row>
    <row r="748" spans="10:11" x14ac:dyDescent="0.25">
      <c r="J748" s="442"/>
      <c r="K748" s="442"/>
    </row>
    <row r="749" spans="10:11" x14ac:dyDescent="0.25">
      <c r="J749" s="442"/>
      <c r="K749" s="442"/>
    </row>
    <row r="750" spans="10:11" x14ac:dyDescent="0.25">
      <c r="J750" s="442"/>
      <c r="K750" s="442"/>
    </row>
    <row r="751" spans="10:11" x14ac:dyDescent="0.25">
      <c r="J751" s="442"/>
      <c r="K751" s="442"/>
    </row>
    <row r="752" spans="10:11" x14ac:dyDescent="0.25">
      <c r="J752" s="442"/>
      <c r="K752" s="442"/>
    </row>
    <row r="753" spans="10:11" x14ac:dyDescent="0.25">
      <c r="J753" s="442"/>
      <c r="K753" s="442"/>
    </row>
    <row r="754" spans="10:11" x14ac:dyDescent="0.25">
      <c r="J754" s="442"/>
      <c r="K754" s="442"/>
    </row>
    <row r="755" spans="10:11" x14ac:dyDescent="0.25">
      <c r="J755" s="442"/>
      <c r="K755" s="442"/>
    </row>
    <row r="756" spans="10:11" x14ac:dyDescent="0.25">
      <c r="J756" s="442"/>
      <c r="K756" s="442"/>
    </row>
    <row r="757" spans="10:11" x14ac:dyDescent="0.25">
      <c r="J757" s="442"/>
      <c r="K757" s="442"/>
    </row>
    <row r="758" spans="10:11" x14ac:dyDescent="0.25">
      <c r="J758" s="442"/>
      <c r="K758" s="442"/>
    </row>
    <row r="759" spans="10:11" x14ac:dyDescent="0.25">
      <c r="J759" s="442"/>
      <c r="K759" s="442"/>
    </row>
    <row r="760" spans="10:11" x14ac:dyDescent="0.25">
      <c r="J760" s="442"/>
      <c r="K760" s="442"/>
    </row>
    <row r="761" spans="10:11" x14ac:dyDescent="0.25">
      <c r="J761" s="442"/>
      <c r="K761" s="442"/>
    </row>
    <row r="762" spans="10:11" x14ac:dyDescent="0.25">
      <c r="J762" s="442"/>
      <c r="K762" s="442"/>
    </row>
    <row r="763" spans="10:11" x14ac:dyDescent="0.25">
      <c r="J763" s="442"/>
      <c r="K763" s="442"/>
    </row>
    <row r="764" spans="10:11" x14ac:dyDescent="0.25">
      <c r="J764" s="442"/>
      <c r="K764" s="442"/>
    </row>
    <row r="765" spans="10:11" x14ac:dyDescent="0.25">
      <c r="J765" s="442"/>
      <c r="K765" s="442"/>
    </row>
    <row r="766" spans="10:11" x14ac:dyDescent="0.25">
      <c r="J766" s="442"/>
      <c r="K766" s="442"/>
    </row>
    <row r="767" spans="10:11" x14ac:dyDescent="0.25">
      <c r="J767" s="442"/>
      <c r="K767" s="442"/>
    </row>
    <row r="768" spans="10:11" x14ac:dyDescent="0.25">
      <c r="J768" s="442"/>
      <c r="K768" s="442"/>
    </row>
    <row r="769" spans="10:11" x14ac:dyDescent="0.25">
      <c r="J769" s="442"/>
      <c r="K769" s="442"/>
    </row>
    <row r="770" spans="10:11" x14ac:dyDescent="0.25">
      <c r="J770" s="442"/>
      <c r="K770" s="442"/>
    </row>
    <row r="771" spans="10:11" x14ac:dyDescent="0.25">
      <c r="J771" s="442"/>
      <c r="K771" s="442"/>
    </row>
    <row r="772" spans="10:11" x14ac:dyDescent="0.25">
      <c r="J772" s="442"/>
      <c r="K772" s="442"/>
    </row>
    <row r="773" spans="10:11" x14ac:dyDescent="0.25">
      <c r="J773" s="442"/>
      <c r="K773" s="442"/>
    </row>
    <row r="774" spans="10:11" x14ac:dyDescent="0.25">
      <c r="J774" s="442"/>
      <c r="K774" s="442"/>
    </row>
    <row r="775" spans="10:11" x14ac:dyDescent="0.25">
      <c r="J775" s="442"/>
      <c r="K775" s="442"/>
    </row>
    <row r="776" spans="10:11" x14ac:dyDescent="0.25">
      <c r="J776" s="442"/>
      <c r="K776" s="442"/>
    </row>
    <row r="777" spans="10:11" x14ac:dyDescent="0.25">
      <c r="J777" s="442"/>
      <c r="K777" s="442"/>
    </row>
    <row r="778" spans="10:11" x14ac:dyDescent="0.25">
      <c r="J778" s="442"/>
      <c r="K778" s="442"/>
    </row>
    <row r="779" spans="10:11" x14ac:dyDescent="0.25">
      <c r="J779" s="442"/>
      <c r="K779" s="442"/>
    </row>
    <row r="780" spans="10:11" x14ac:dyDescent="0.25">
      <c r="J780" s="442"/>
      <c r="K780" s="442"/>
    </row>
    <row r="781" spans="10:11" x14ac:dyDescent="0.25">
      <c r="J781" s="442"/>
      <c r="K781" s="442"/>
    </row>
    <row r="782" spans="10:11" x14ac:dyDescent="0.25">
      <c r="J782" s="442"/>
      <c r="K782" s="442"/>
    </row>
    <row r="783" spans="10:11" x14ac:dyDescent="0.25">
      <c r="J783" s="442"/>
      <c r="K783" s="442"/>
    </row>
    <row r="784" spans="10:11" x14ac:dyDescent="0.25">
      <c r="J784" s="442"/>
      <c r="K784" s="442"/>
    </row>
    <row r="785" spans="10:11" x14ac:dyDescent="0.25">
      <c r="J785" s="442"/>
      <c r="K785" s="442"/>
    </row>
    <row r="786" spans="10:11" x14ac:dyDescent="0.25">
      <c r="J786" s="442"/>
      <c r="K786" s="442"/>
    </row>
    <row r="787" spans="10:11" x14ac:dyDescent="0.25">
      <c r="J787" s="442"/>
      <c r="K787" s="442"/>
    </row>
    <row r="788" spans="10:11" x14ac:dyDescent="0.25">
      <c r="J788" s="442"/>
      <c r="K788" s="442"/>
    </row>
    <row r="789" spans="10:11" x14ac:dyDescent="0.25">
      <c r="J789" s="442"/>
      <c r="K789" s="442"/>
    </row>
    <row r="790" spans="10:11" x14ac:dyDescent="0.25">
      <c r="J790" s="442"/>
      <c r="K790" s="442"/>
    </row>
    <row r="791" spans="10:11" x14ac:dyDescent="0.25">
      <c r="J791" s="442"/>
      <c r="K791" s="442"/>
    </row>
    <row r="792" spans="10:11" x14ac:dyDescent="0.25">
      <c r="J792" s="442"/>
      <c r="K792" s="442"/>
    </row>
    <row r="793" spans="10:11" x14ac:dyDescent="0.25">
      <c r="J793" s="442"/>
      <c r="K793" s="442"/>
    </row>
    <row r="794" spans="10:11" x14ac:dyDescent="0.25">
      <c r="J794" s="442"/>
      <c r="K794" s="442"/>
    </row>
    <row r="795" spans="10:11" x14ac:dyDescent="0.25">
      <c r="J795" s="442"/>
      <c r="K795" s="442"/>
    </row>
    <row r="796" spans="10:11" x14ac:dyDescent="0.25">
      <c r="J796" s="442"/>
      <c r="K796" s="442"/>
    </row>
    <row r="797" spans="10:11" x14ac:dyDescent="0.25">
      <c r="J797" s="442"/>
      <c r="K797" s="442"/>
    </row>
    <row r="798" spans="10:11" x14ac:dyDescent="0.25">
      <c r="J798" s="442"/>
      <c r="K798" s="442"/>
    </row>
    <row r="799" spans="10:11" x14ac:dyDescent="0.25">
      <c r="J799" s="442"/>
      <c r="K799" s="442"/>
    </row>
    <row r="800" spans="10:11" x14ac:dyDescent="0.25">
      <c r="J800" s="442"/>
      <c r="K800" s="442"/>
    </row>
    <row r="801" spans="10:11" x14ac:dyDescent="0.25">
      <c r="J801" s="442"/>
      <c r="K801" s="442"/>
    </row>
    <row r="802" spans="10:11" x14ac:dyDescent="0.25">
      <c r="J802" s="442"/>
      <c r="K802" s="442"/>
    </row>
    <row r="803" spans="10:11" x14ac:dyDescent="0.25">
      <c r="J803" s="442"/>
      <c r="K803" s="442"/>
    </row>
    <row r="804" spans="10:11" x14ac:dyDescent="0.25">
      <c r="J804" s="442"/>
      <c r="K804" s="442"/>
    </row>
    <row r="805" spans="10:11" x14ac:dyDescent="0.25">
      <c r="J805" s="442"/>
      <c r="K805" s="442"/>
    </row>
    <row r="806" spans="10:11" x14ac:dyDescent="0.25">
      <c r="J806" s="442"/>
      <c r="K806" s="442"/>
    </row>
    <row r="807" spans="10:11" x14ac:dyDescent="0.25">
      <c r="J807" s="442"/>
      <c r="K807" s="442"/>
    </row>
    <row r="808" spans="10:11" x14ac:dyDescent="0.25">
      <c r="J808" s="442"/>
      <c r="K808" s="442"/>
    </row>
    <row r="809" spans="10:11" x14ac:dyDescent="0.25">
      <c r="J809" s="442"/>
      <c r="K809" s="442"/>
    </row>
    <row r="810" spans="10:11" x14ac:dyDescent="0.25">
      <c r="J810" s="442"/>
      <c r="K810" s="442"/>
    </row>
    <row r="811" spans="10:11" x14ac:dyDescent="0.25">
      <c r="J811" s="442"/>
      <c r="K811" s="442"/>
    </row>
    <row r="812" spans="10:11" x14ac:dyDescent="0.25">
      <c r="J812" s="442"/>
      <c r="K812" s="442"/>
    </row>
    <row r="813" spans="10:11" x14ac:dyDescent="0.25">
      <c r="J813" s="442"/>
      <c r="K813" s="442"/>
    </row>
    <row r="814" spans="10:11" x14ac:dyDescent="0.25">
      <c r="J814" s="442"/>
      <c r="K814" s="442"/>
    </row>
    <row r="815" spans="10:11" x14ac:dyDescent="0.25">
      <c r="J815" s="442"/>
      <c r="K815" s="442"/>
    </row>
    <row r="816" spans="10:11" x14ac:dyDescent="0.25">
      <c r="J816" s="442"/>
      <c r="K816" s="442"/>
    </row>
    <row r="817" spans="10:11" x14ac:dyDescent="0.25">
      <c r="J817" s="442"/>
      <c r="K817" s="442"/>
    </row>
    <row r="818" spans="10:11" x14ac:dyDescent="0.25">
      <c r="J818" s="442"/>
      <c r="K818" s="442"/>
    </row>
    <row r="819" spans="10:11" x14ac:dyDescent="0.25">
      <c r="J819" s="442"/>
      <c r="K819" s="442"/>
    </row>
    <row r="820" spans="10:11" x14ac:dyDescent="0.25">
      <c r="J820" s="442"/>
      <c r="K820" s="442"/>
    </row>
    <row r="821" spans="10:11" x14ac:dyDescent="0.25">
      <c r="J821" s="442"/>
      <c r="K821" s="442"/>
    </row>
    <row r="822" spans="10:11" x14ac:dyDescent="0.25">
      <c r="J822" s="442"/>
      <c r="K822" s="442"/>
    </row>
    <row r="823" spans="10:11" x14ac:dyDescent="0.25">
      <c r="J823" s="442"/>
      <c r="K823" s="442"/>
    </row>
    <row r="824" spans="10:11" x14ac:dyDescent="0.25">
      <c r="J824" s="442"/>
      <c r="K824" s="442"/>
    </row>
    <row r="825" spans="10:11" x14ac:dyDescent="0.25">
      <c r="J825" s="442"/>
      <c r="K825" s="442"/>
    </row>
    <row r="826" spans="10:11" x14ac:dyDescent="0.25">
      <c r="J826" s="442"/>
      <c r="K826" s="442"/>
    </row>
    <row r="827" spans="10:11" x14ac:dyDescent="0.25">
      <c r="J827" s="442"/>
      <c r="K827" s="442"/>
    </row>
    <row r="828" spans="10:11" x14ac:dyDescent="0.25">
      <c r="J828" s="442"/>
      <c r="K828" s="442"/>
    </row>
    <row r="829" spans="10:11" x14ac:dyDescent="0.25">
      <c r="J829" s="442"/>
      <c r="K829" s="442"/>
    </row>
    <row r="830" spans="10:11" x14ac:dyDescent="0.25">
      <c r="J830" s="442"/>
      <c r="K830" s="442"/>
    </row>
    <row r="831" spans="10:11" x14ac:dyDescent="0.25">
      <c r="J831" s="442"/>
      <c r="K831" s="442"/>
    </row>
    <row r="832" spans="10:11" x14ac:dyDescent="0.25">
      <c r="J832" s="442"/>
      <c r="K832" s="442"/>
    </row>
    <row r="833" spans="10:11" x14ac:dyDescent="0.25">
      <c r="J833" s="442"/>
      <c r="K833" s="442"/>
    </row>
    <row r="834" spans="10:11" x14ac:dyDescent="0.25">
      <c r="J834" s="442"/>
      <c r="K834" s="442"/>
    </row>
    <row r="835" spans="10:11" x14ac:dyDescent="0.25">
      <c r="J835" s="442"/>
      <c r="K835" s="442"/>
    </row>
    <row r="836" spans="10:11" x14ac:dyDescent="0.25">
      <c r="J836" s="442"/>
      <c r="K836" s="442"/>
    </row>
    <row r="837" spans="10:11" x14ac:dyDescent="0.25">
      <c r="J837" s="442"/>
      <c r="K837" s="442"/>
    </row>
    <row r="838" spans="10:11" x14ac:dyDescent="0.25">
      <c r="J838" s="442"/>
      <c r="K838" s="442"/>
    </row>
    <row r="839" spans="10:11" x14ac:dyDescent="0.25">
      <c r="J839" s="442"/>
      <c r="K839" s="442"/>
    </row>
    <row r="840" spans="10:11" x14ac:dyDescent="0.25">
      <c r="J840" s="442"/>
      <c r="K840" s="442"/>
    </row>
    <row r="841" spans="10:11" x14ac:dyDescent="0.25">
      <c r="J841" s="442"/>
      <c r="K841" s="442"/>
    </row>
    <row r="842" spans="10:11" x14ac:dyDescent="0.25">
      <c r="J842" s="442"/>
      <c r="K842" s="442"/>
    </row>
    <row r="843" spans="10:11" x14ac:dyDescent="0.25">
      <c r="J843" s="442"/>
      <c r="K843" s="442"/>
    </row>
    <row r="844" spans="10:11" x14ac:dyDescent="0.25">
      <c r="J844" s="442"/>
      <c r="K844" s="442"/>
    </row>
    <row r="845" spans="10:11" x14ac:dyDescent="0.25">
      <c r="J845" s="442"/>
      <c r="K845" s="442"/>
    </row>
    <row r="846" spans="10:11" x14ac:dyDescent="0.25">
      <c r="J846" s="442"/>
      <c r="K846" s="442"/>
    </row>
    <row r="847" spans="10:11" x14ac:dyDescent="0.25">
      <c r="J847" s="442"/>
      <c r="K847" s="442"/>
    </row>
    <row r="848" spans="10:11" x14ac:dyDescent="0.25">
      <c r="J848" s="442"/>
      <c r="K848" s="442"/>
    </row>
    <row r="849" spans="10:11" x14ac:dyDescent="0.25">
      <c r="J849" s="442"/>
      <c r="K849" s="442"/>
    </row>
    <row r="850" spans="10:11" x14ac:dyDescent="0.25">
      <c r="J850" s="442"/>
      <c r="K850" s="442"/>
    </row>
    <row r="851" spans="10:11" x14ac:dyDescent="0.25">
      <c r="J851" s="442"/>
      <c r="K851" s="442"/>
    </row>
    <row r="852" spans="10:11" x14ac:dyDescent="0.25">
      <c r="J852" s="442"/>
      <c r="K852" s="442"/>
    </row>
    <row r="853" spans="10:11" x14ac:dyDescent="0.25">
      <c r="J853" s="442"/>
      <c r="K853" s="442"/>
    </row>
    <row r="854" spans="10:11" x14ac:dyDescent="0.25">
      <c r="J854" s="442"/>
      <c r="K854" s="442"/>
    </row>
    <row r="855" spans="10:11" x14ac:dyDescent="0.25">
      <c r="J855" s="442"/>
      <c r="K855" s="442"/>
    </row>
    <row r="856" spans="10:11" x14ac:dyDescent="0.25">
      <c r="J856" s="442"/>
      <c r="K856" s="442"/>
    </row>
    <row r="857" spans="10:11" x14ac:dyDescent="0.25">
      <c r="J857" s="442"/>
      <c r="K857" s="442"/>
    </row>
    <row r="858" spans="10:11" x14ac:dyDescent="0.25">
      <c r="J858" s="442"/>
      <c r="K858" s="442"/>
    </row>
    <row r="859" spans="10:11" x14ac:dyDescent="0.25">
      <c r="J859" s="442"/>
      <c r="K859" s="442"/>
    </row>
    <row r="860" spans="10:11" x14ac:dyDescent="0.25">
      <c r="J860" s="442"/>
      <c r="K860" s="442"/>
    </row>
    <row r="861" spans="10:11" x14ac:dyDescent="0.25">
      <c r="J861" s="442"/>
      <c r="K861" s="442"/>
    </row>
    <row r="862" spans="10:11" x14ac:dyDescent="0.25">
      <c r="J862" s="442"/>
      <c r="K862" s="442"/>
    </row>
    <row r="863" spans="10:11" x14ac:dyDescent="0.25">
      <c r="J863" s="442"/>
      <c r="K863" s="442"/>
    </row>
    <row r="864" spans="10:11" x14ac:dyDescent="0.25">
      <c r="J864" s="442"/>
      <c r="K864" s="442"/>
    </row>
    <row r="865" spans="10:11" x14ac:dyDescent="0.25">
      <c r="J865" s="442"/>
      <c r="K865" s="442"/>
    </row>
    <row r="866" spans="10:11" x14ac:dyDescent="0.25">
      <c r="J866" s="442"/>
      <c r="K866" s="442"/>
    </row>
    <row r="867" spans="10:11" x14ac:dyDescent="0.25">
      <c r="J867" s="442"/>
      <c r="K867" s="442"/>
    </row>
    <row r="868" spans="10:11" x14ac:dyDescent="0.25">
      <c r="J868" s="442"/>
      <c r="K868" s="442"/>
    </row>
    <row r="869" spans="10:11" x14ac:dyDescent="0.25">
      <c r="J869" s="442"/>
      <c r="K869" s="442"/>
    </row>
    <row r="870" spans="10:11" x14ac:dyDescent="0.25">
      <c r="J870" s="442"/>
      <c r="K870" s="442"/>
    </row>
    <row r="871" spans="10:11" x14ac:dyDescent="0.25">
      <c r="J871" s="442"/>
      <c r="K871" s="442"/>
    </row>
    <row r="872" spans="10:11" x14ac:dyDescent="0.25">
      <c r="J872" s="442"/>
      <c r="K872" s="442"/>
    </row>
    <row r="873" spans="10:11" x14ac:dyDescent="0.25">
      <c r="J873" s="442"/>
      <c r="K873" s="442"/>
    </row>
    <row r="874" spans="10:11" x14ac:dyDescent="0.25">
      <c r="J874" s="442"/>
      <c r="K874" s="442"/>
    </row>
    <row r="875" spans="10:11" x14ac:dyDescent="0.25">
      <c r="J875" s="442"/>
      <c r="K875" s="442"/>
    </row>
    <row r="876" spans="10:11" x14ac:dyDescent="0.25">
      <c r="J876" s="442"/>
      <c r="K876" s="442"/>
    </row>
    <row r="877" spans="10:11" x14ac:dyDescent="0.25">
      <c r="J877" s="442"/>
      <c r="K877" s="442"/>
    </row>
    <row r="878" spans="10:11" x14ac:dyDescent="0.25">
      <c r="J878" s="442"/>
      <c r="K878" s="442"/>
    </row>
    <row r="879" spans="10:11" x14ac:dyDescent="0.25">
      <c r="J879" s="442"/>
      <c r="K879" s="442"/>
    </row>
    <row r="880" spans="10:11" x14ac:dyDescent="0.25">
      <c r="J880" s="442"/>
      <c r="K880" s="442"/>
    </row>
    <row r="881" spans="10:11" x14ac:dyDescent="0.25">
      <c r="J881" s="442"/>
      <c r="K881" s="442"/>
    </row>
    <row r="882" spans="10:11" x14ac:dyDescent="0.25">
      <c r="J882" s="442"/>
      <c r="K882" s="442"/>
    </row>
    <row r="883" spans="10:11" x14ac:dyDescent="0.25">
      <c r="J883" s="442"/>
      <c r="K883" s="442"/>
    </row>
    <row r="884" spans="10:11" x14ac:dyDescent="0.25">
      <c r="J884" s="442"/>
      <c r="K884" s="442"/>
    </row>
    <row r="885" spans="10:11" x14ac:dyDescent="0.25">
      <c r="J885" s="442"/>
      <c r="K885" s="442"/>
    </row>
    <row r="886" spans="10:11" x14ac:dyDescent="0.25">
      <c r="J886" s="442"/>
      <c r="K886" s="442"/>
    </row>
    <row r="887" spans="10:11" x14ac:dyDescent="0.25">
      <c r="J887" s="442"/>
      <c r="K887" s="442"/>
    </row>
    <row r="888" spans="10:11" x14ac:dyDescent="0.25">
      <c r="J888" s="442"/>
      <c r="K888" s="442"/>
    </row>
    <row r="889" spans="10:11" x14ac:dyDescent="0.25">
      <c r="J889" s="442"/>
      <c r="K889" s="442"/>
    </row>
    <row r="890" spans="10:11" x14ac:dyDescent="0.25">
      <c r="J890" s="442"/>
      <c r="K890" s="442"/>
    </row>
    <row r="891" spans="10:11" x14ac:dyDescent="0.25">
      <c r="J891" s="442"/>
      <c r="K891" s="442"/>
    </row>
    <row r="892" spans="10:11" x14ac:dyDescent="0.25">
      <c r="J892" s="442"/>
      <c r="K892" s="442"/>
    </row>
    <row r="893" spans="10:11" x14ac:dyDescent="0.25">
      <c r="J893" s="442"/>
      <c r="K893" s="442"/>
    </row>
    <row r="894" spans="10:11" x14ac:dyDescent="0.25">
      <c r="J894" s="442"/>
      <c r="K894" s="442"/>
    </row>
    <row r="895" spans="10:11" x14ac:dyDescent="0.25">
      <c r="J895" s="442"/>
      <c r="K895" s="442"/>
    </row>
    <row r="896" spans="10:11" x14ac:dyDescent="0.25">
      <c r="J896" s="442"/>
      <c r="K896" s="442"/>
    </row>
    <row r="897" spans="10:11" x14ac:dyDescent="0.25">
      <c r="J897" s="442"/>
      <c r="K897" s="442"/>
    </row>
    <row r="898" spans="10:11" x14ac:dyDescent="0.25">
      <c r="J898" s="442"/>
      <c r="K898" s="442"/>
    </row>
    <row r="899" spans="10:11" x14ac:dyDescent="0.25">
      <c r="J899" s="442"/>
      <c r="K899" s="442"/>
    </row>
    <row r="900" spans="10:11" x14ac:dyDescent="0.25">
      <c r="J900" s="442"/>
      <c r="K900" s="442"/>
    </row>
    <row r="901" spans="10:11" x14ac:dyDescent="0.25">
      <c r="J901" s="442"/>
      <c r="K901" s="442"/>
    </row>
    <row r="902" spans="10:11" x14ac:dyDescent="0.25">
      <c r="J902" s="442"/>
      <c r="K902" s="442"/>
    </row>
    <row r="903" spans="10:11" x14ac:dyDescent="0.25">
      <c r="J903" s="442"/>
      <c r="K903" s="442"/>
    </row>
    <row r="904" spans="10:11" x14ac:dyDescent="0.25">
      <c r="J904" s="442"/>
      <c r="K904" s="442"/>
    </row>
    <row r="905" spans="10:11" x14ac:dyDescent="0.25">
      <c r="J905" s="442"/>
      <c r="K905" s="442"/>
    </row>
    <row r="906" spans="10:11" x14ac:dyDescent="0.25">
      <c r="J906" s="442"/>
      <c r="K906" s="442"/>
    </row>
    <row r="907" spans="10:11" x14ac:dyDescent="0.25">
      <c r="J907" s="442"/>
      <c r="K907" s="442"/>
    </row>
    <row r="908" spans="10:11" x14ac:dyDescent="0.25">
      <c r="J908" s="442"/>
      <c r="K908" s="442"/>
    </row>
    <row r="909" spans="10:11" x14ac:dyDescent="0.25">
      <c r="J909" s="442"/>
      <c r="K909" s="442"/>
    </row>
    <row r="910" spans="10:11" x14ac:dyDescent="0.25">
      <c r="J910" s="442"/>
      <c r="K910" s="442"/>
    </row>
    <row r="911" spans="10:11" x14ac:dyDescent="0.25">
      <c r="J911" s="442"/>
      <c r="K911" s="442"/>
    </row>
    <row r="912" spans="10:11" x14ac:dyDescent="0.25">
      <c r="J912" s="442"/>
      <c r="K912" s="442"/>
    </row>
    <row r="913" spans="10:11" x14ac:dyDescent="0.25">
      <c r="J913" s="442"/>
      <c r="K913" s="442"/>
    </row>
    <row r="914" spans="10:11" x14ac:dyDescent="0.25">
      <c r="J914" s="442"/>
      <c r="K914" s="442"/>
    </row>
    <row r="915" spans="10:11" x14ac:dyDescent="0.25">
      <c r="J915" s="442"/>
      <c r="K915" s="442"/>
    </row>
    <row r="916" spans="10:11" x14ac:dyDescent="0.25">
      <c r="J916" s="442"/>
      <c r="K916" s="442"/>
    </row>
    <row r="917" spans="10:11" x14ac:dyDescent="0.25">
      <c r="J917" s="442"/>
      <c r="K917" s="442"/>
    </row>
    <row r="918" spans="10:11" x14ac:dyDescent="0.25">
      <c r="J918" s="442"/>
      <c r="K918" s="442"/>
    </row>
    <row r="919" spans="10:11" x14ac:dyDescent="0.25">
      <c r="J919" s="442"/>
      <c r="K919" s="442"/>
    </row>
    <row r="920" spans="10:11" x14ac:dyDescent="0.25">
      <c r="J920" s="442"/>
      <c r="K920" s="442"/>
    </row>
    <row r="921" spans="10:11" x14ac:dyDescent="0.25">
      <c r="J921" s="442"/>
      <c r="K921" s="442"/>
    </row>
    <row r="922" spans="10:11" x14ac:dyDescent="0.25">
      <c r="J922" s="442"/>
      <c r="K922" s="442"/>
    </row>
    <row r="923" spans="10:11" x14ac:dyDescent="0.25">
      <c r="J923" s="442"/>
      <c r="K923" s="442"/>
    </row>
    <row r="924" spans="10:11" x14ac:dyDescent="0.25">
      <c r="J924" s="442"/>
      <c r="K924" s="442"/>
    </row>
    <row r="925" spans="10:11" x14ac:dyDescent="0.25">
      <c r="J925" s="442"/>
      <c r="K925" s="442"/>
    </row>
    <row r="926" spans="10:11" x14ac:dyDescent="0.25">
      <c r="J926" s="442"/>
      <c r="K926" s="442"/>
    </row>
    <row r="927" spans="10:11" x14ac:dyDescent="0.25">
      <c r="J927" s="442"/>
      <c r="K927" s="442"/>
    </row>
    <row r="928" spans="10:11" x14ac:dyDescent="0.25">
      <c r="J928" s="442"/>
      <c r="K928" s="442"/>
    </row>
    <row r="929" spans="10:11" x14ac:dyDescent="0.25">
      <c r="J929" s="442"/>
      <c r="K929" s="442"/>
    </row>
    <row r="930" spans="10:11" x14ac:dyDescent="0.25">
      <c r="J930" s="442"/>
      <c r="K930" s="442"/>
    </row>
    <row r="931" spans="10:11" x14ac:dyDescent="0.25">
      <c r="J931" s="442"/>
      <c r="K931" s="442"/>
    </row>
    <row r="932" spans="10:11" x14ac:dyDescent="0.25">
      <c r="J932" s="442"/>
      <c r="K932" s="442"/>
    </row>
    <row r="933" spans="10:11" x14ac:dyDescent="0.25">
      <c r="J933" s="442"/>
      <c r="K933" s="442"/>
    </row>
    <row r="934" spans="10:11" x14ac:dyDescent="0.25">
      <c r="J934" s="442"/>
      <c r="K934" s="442"/>
    </row>
    <row r="935" spans="10:11" x14ac:dyDescent="0.25">
      <c r="J935" s="442"/>
      <c r="K935" s="442"/>
    </row>
    <row r="936" spans="10:11" x14ac:dyDescent="0.25">
      <c r="J936" s="442"/>
      <c r="K936" s="442"/>
    </row>
    <row r="937" spans="10:11" x14ac:dyDescent="0.25">
      <c r="J937" s="442"/>
      <c r="K937" s="442"/>
    </row>
    <row r="938" spans="10:11" x14ac:dyDescent="0.25">
      <c r="J938" s="442"/>
      <c r="K938" s="442"/>
    </row>
    <row r="939" spans="10:11" x14ac:dyDescent="0.25">
      <c r="J939" s="442"/>
      <c r="K939" s="442"/>
    </row>
    <row r="940" spans="10:11" x14ac:dyDescent="0.25">
      <c r="J940" s="442"/>
      <c r="K940" s="442"/>
    </row>
    <row r="941" spans="10:11" x14ac:dyDescent="0.25">
      <c r="J941" s="442"/>
      <c r="K941" s="442"/>
    </row>
    <row r="942" spans="10:11" x14ac:dyDescent="0.25">
      <c r="J942" s="442"/>
      <c r="K942" s="442"/>
    </row>
    <row r="943" spans="10:11" x14ac:dyDescent="0.25">
      <c r="J943" s="442"/>
      <c r="K943" s="442"/>
    </row>
    <row r="944" spans="10:11" x14ac:dyDescent="0.25">
      <c r="J944" s="442"/>
      <c r="K944" s="442"/>
    </row>
    <row r="945" spans="10:11" x14ac:dyDescent="0.25">
      <c r="J945" s="442"/>
      <c r="K945" s="442"/>
    </row>
    <row r="946" spans="10:11" x14ac:dyDescent="0.25">
      <c r="J946" s="442"/>
      <c r="K946" s="442"/>
    </row>
    <row r="947" spans="10:11" x14ac:dyDescent="0.25">
      <c r="J947" s="442"/>
      <c r="K947" s="442"/>
    </row>
    <row r="948" spans="10:11" x14ac:dyDescent="0.25">
      <c r="J948" s="442"/>
      <c r="K948" s="442"/>
    </row>
    <row r="949" spans="10:11" x14ac:dyDescent="0.25">
      <c r="J949" s="442"/>
      <c r="K949" s="442"/>
    </row>
    <row r="950" spans="10:11" x14ac:dyDescent="0.25">
      <c r="J950" s="442"/>
      <c r="K950" s="442"/>
    </row>
    <row r="951" spans="10:11" x14ac:dyDescent="0.25">
      <c r="J951" s="442"/>
      <c r="K951" s="442"/>
    </row>
    <row r="952" spans="10:11" x14ac:dyDescent="0.25">
      <c r="J952" s="442"/>
      <c r="K952" s="442"/>
    </row>
    <row r="953" spans="10:11" x14ac:dyDescent="0.25">
      <c r="J953" s="442"/>
      <c r="K953" s="442"/>
    </row>
    <row r="954" spans="10:11" x14ac:dyDescent="0.25">
      <c r="J954" s="442"/>
      <c r="K954" s="442"/>
    </row>
    <row r="955" spans="10:11" x14ac:dyDescent="0.25">
      <c r="J955" s="442"/>
      <c r="K955" s="442"/>
    </row>
    <row r="956" spans="10:11" x14ac:dyDescent="0.25">
      <c r="J956" s="442"/>
      <c r="K956" s="442"/>
    </row>
    <row r="957" spans="10:11" x14ac:dyDescent="0.25">
      <c r="J957" s="442"/>
      <c r="K957" s="442"/>
    </row>
    <row r="958" spans="10:11" x14ac:dyDescent="0.25">
      <c r="J958" s="442"/>
      <c r="K958" s="442"/>
    </row>
    <row r="959" spans="10:11" x14ac:dyDescent="0.25">
      <c r="J959" s="442"/>
      <c r="K959" s="442"/>
    </row>
    <row r="960" spans="10:11" x14ac:dyDescent="0.25">
      <c r="J960" s="442"/>
      <c r="K960" s="442"/>
    </row>
    <row r="961" spans="10:11" x14ac:dyDescent="0.25">
      <c r="J961" s="442"/>
      <c r="K961" s="442"/>
    </row>
    <row r="962" spans="10:11" x14ac:dyDescent="0.25">
      <c r="J962" s="442"/>
      <c r="K962" s="442"/>
    </row>
    <row r="963" spans="10:11" x14ac:dyDescent="0.25">
      <c r="J963" s="442"/>
      <c r="K963" s="442"/>
    </row>
    <row r="964" spans="10:11" x14ac:dyDescent="0.25">
      <c r="J964" s="442"/>
      <c r="K964" s="442"/>
    </row>
    <row r="965" spans="10:11" x14ac:dyDescent="0.25">
      <c r="J965" s="442"/>
      <c r="K965" s="442"/>
    </row>
    <row r="966" spans="10:11" x14ac:dyDescent="0.25">
      <c r="J966" s="442"/>
      <c r="K966" s="442"/>
    </row>
    <row r="967" spans="10:11" x14ac:dyDescent="0.25">
      <c r="J967" s="442"/>
      <c r="K967" s="442"/>
    </row>
    <row r="968" spans="10:11" x14ac:dyDescent="0.25">
      <c r="J968" s="442"/>
      <c r="K968" s="442"/>
    </row>
    <row r="969" spans="10:11" x14ac:dyDescent="0.25">
      <c r="J969" s="442"/>
      <c r="K969" s="442"/>
    </row>
    <row r="970" spans="10:11" x14ac:dyDescent="0.25">
      <c r="J970" s="442"/>
      <c r="K970" s="442"/>
    </row>
    <row r="971" spans="10:11" x14ac:dyDescent="0.25">
      <c r="J971" s="442"/>
      <c r="K971" s="442"/>
    </row>
    <row r="972" spans="10:11" x14ac:dyDescent="0.25">
      <c r="J972" s="442"/>
      <c r="K972" s="442"/>
    </row>
    <row r="973" spans="10:11" x14ac:dyDescent="0.25">
      <c r="J973" s="442"/>
      <c r="K973" s="442"/>
    </row>
    <row r="974" spans="10:11" x14ac:dyDescent="0.25">
      <c r="J974" s="442"/>
      <c r="K974" s="442"/>
    </row>
    <row r="975" spans="10:11" x14ac:dyDescent="0.25">
      <c r="J975" s="442"/>
      <c r="K975" s="442"/>
    </row>
    <row r="976" spans="10:11" x14ac:dyDescent="0.25">
      <c r="J976" s="442"/>
      <c r="K976" s="442"/>
    </row>
    <row r="977" spans="10:11" x14ac:dyDescent="0.25">
      <c r="J977" s="442"/>
      <c r="K977" s="442"/>
    </row>
    <row r="978" spans="10:11" x14ac:dyDescent="0.25">
      <c r="J978" s="442"/>
      <c r="K978" s="442"/>
    </row>
    <row r="979" spans="10:11" x14ac:dyDescent="0.25">
      <c r="J979" s="442"/>
      <c r="K979" s="442"/>
    </row>
    <row r="980" spans="10:11" x14ac:dyDescent="0.25">
      <c r="J980" s="442"/>
      <c r="K980" s="442"/>
    </row>
    <row r="981" spans="10:11" x14ac:dyDescent="0.25">
      <c r="J981" s="442"/>
      <c r="K981" s="442"/>
    </row>
    <row r="982" spans="10:11" x14ac:dyDescent="0.25">
      <c r="J982" s="442"/>
      <c r="K982" s="442"/>
    </row>
    <row r="983" spans="10:11" x14ac:dyDescent="0.25">
      <c r="J983" s="442"/>
      <c r="K983" s="442"/>
    </row>
    <row r="984" spans="10:11" x14ac:dyDescent="0.25">
      <c r="J984" s="442"/>
      <c r="K984" s="442"/>
    </row>
    <row r="985" spans="10:11" x14ac:dyDescent="0.25">
      <c r="J985" s="442"/>
      <c r="K985" s="442"/>
    </row>
    <row r="986" spans="10:11" x14ac:dyDescent="0.25">
      <c r="J986" s="442"/>
      <c r="K986" s="442"/>
    </row>
    <row r="987" spans="10:11" x14ac:dyDescent="0.25">
      <c r="J987" s="442"/>
      <c r="K987" s="442"/>
    </row>
    <row r="988" spans="10:11" x14ac:dyDescent="0.25">
      <c r="J988" s="442"/>
      <c r="K988" s="442"/>
    </row>
    <row r="989" spans="10:11" x14ac:dyDescent="0.25">
      <c r="J989" s="442"/>
      <c r="K989" s="442"/>
    </row>
    <row r="990" spans="10:11" x14ac:dyDescent="0.25">
      <c r="J990" s="442"/>
      <c r="K990" s="442"/>
    </row>
    <row r="991" spans="10:11" x14ac:dyDescent="0.25">
      <c r="J991" s="442"/>
      <c r="K991" s="442"/>
    </row>
    <row r="992" spans="10:11" x14ac:dyDescent="0.25">
      <c r="J992" s="442"/>
      <c r="K992" s="442"/>
    </row>
    <row r="993" spans="10:11" x14ac:dyDescent="0.25">
      <c r="J993" s="442"/>
      <c r="K993" s="442"/>
    </row>
    <row r="994" spans="10:11" x14ac:dyDescent="0.25">
      <c r="J994" s="442"/>
      <c r="K994" s="442"/>
    </row>
    <row r="995" spans="10:11" x14ac:dyDescent="0.25">
      <c r="J995" s="442"/>
      <c r="K995" s="442"/>
    </row>
    <row r="996" spans="10:11" x14ac:dyDescent="0.25">
      <c r="J996" s="442"/>
      <c r="K996" s="442"/>
    </row>
    <row r="997" spans="10:11" x14ac:dyDescent="0.25">
      <c r="J997" s="442"/>
      <c r="K997" s="442"/>
    </row>
    <row r="998" spans="10:11" x14ac:dyDescent="0.25">
      <c r="J998" s="442"/>
      <c r="K998" s="442"/>
    </row>
    <row r="999" spans="10:11" x14ac:dyDescent="0.25">
      <c r="J999" s="442"/>
      <c r="K999" s="442"/>
    </row>
    <row r="1000" spans="10:11" x14ac:dyDescent="0.25">
      <c r="J1000" s="442"/>
      <c r="K1000" s="442"/>
    </row>
    <row r="1001" spans="10:11" x14ac:dyDescent="0.25">
      <c r="J1001" s="442"/>
      <c r="K1001" s="442"/>
    </row>
    <row r="1002" spans="10:11" x14ac:dyDescent="0.25">
      <c r="J1002" s="442"/>
      <c r="K1002" s="442"/>
    </row>
    <row r="1003" spans="10:11" x14ac:dyDescent="0.25">
      <c r="J1003" s="442"/>
      <c r="K1003" s="442"/>
    </row>
    <row r="1004" spans="10:11" x14ac:dyDescent="0.25">
      <c r="J1004" s="442"/>
      <c r="K1004" s="442"/>
    </row>
    <row r="1005" spans="10:11" x14ac:dyDescent="0.25">
      <c r="J1005" s="442"/>
      <c r="K1005" s="442"/>
    </row>
    <row r="1006" spans="10:11" x14ac:dyDescent="0.25">
      <c r="J1006" s="442"/>
      <c r="K1006" s="442"/>
    </row>
    <row r="1007" spans="10:11" x14ac:dyDescent="0.25">
      <c r="J1007" s="442"/>
      <c r="K1007" s="442"/>
    </row>
    <row r="1008" spans="10:11" x14ac:dyDescent="0.25">
      <c r="J1008" s="442"/>
      <c r="K1008" s="442"/>
    </row>
    <row r="1009" spans="10:11" x14ac:dyDescent="0.25">
      <c r="J1009" s="442"/>
      <c r="K1009" s="442"/>
    </row>
    <row r="1010" spans="10:11" x14ac:dyDescent="0.25">
      <c r="J1010" s="442"/>
      <c r="K1010" s="442"/>
    </row>
    <row r="1011" spans="10:11" x14ac:dyDescent="0.25">
      <c r="J1011" s="442"/>
      <c r="K1011" s="442"/>
    </row>
    <row r="1012" spans="10:11" x14ac:dyDescent="0.25">
      <c r="J1012" s="442"/>
      <c r="K1012" s="442"/>
    </row>
    <row r="1013" spans="10:11" x14ac:dyDescent="0.25">
      <c r="J1013" s="442"/>
      <c r="K1013" s="442"/>
    </row>
    <row r="1014" spans="10:11" x14ac:dyDescent="0.25">
      <c r="J1014" s="442"/>
      <c r="K1014" s="442"/>
    </row>
    <row r="1015" spans="10:11" x14ac:dyDescent="0.25">
      <c r="J1015" s="442"/>
      <c r="K1015" s="442"/>
    </row>
    <row r="1016" spans="10:11" x14ac:dyDescent="0.25">
      <c r="J1016" s="442"/>
      <c r="K1016" s="442"/>
    </row>
    <row r="1017" spans="10:11" x14ac:dyDescent="0.25">
      <c r="J1017" s="442"/>
      <c r="K1017" s="442"/>
    </row>
    <row r="1018" spans="10:11" x14ac:dyDescent="0.25">
      <c r="J1018" s="442"/>
      <c r="K1018" s="442"/>
    </row>
    <row r="1019" spans="10:11" x14ac:dyDescent="0.25">
      <c r="J1019" s="442"/>
      <c r="K1019" s="442"/>
    </row>
    <row r="1020" spans="10:11" x14ac:dyDescent="0.25">
      <c r="J1020" s="442"/>
      <c r="K1020" s="442"/>
    </row>
    <row r="1021" spans="10:11" x14ac:dyDescent="0.25">
      <c r="J1021" s="442"/>
      <c r="K1021" s="442"/>
    </row>
    <row r="1022" spans="10:11" x14ac:dyDescent="0.25">
      <c r="J1022" s="442"/>
      <c r="K1022" s="442"/>
    </row>
    <row r="1023" spans="10:11" x14ac:dyDescent="0.25">
      <c r="J1023" s="442"/>
      <c r="K1023" s="442"/>
    </row>
    <row r="1024" spans="10:11" x14ac:dyDescent="0.25">
      <c r="J1024" s="442"/>
      <c r="K1024" s="442"/>
    </row>
    <row r="1025" spans="10:11" x14ac:dyDescent="0.25">
      <c r="J1025" s="442"/>
      <c r="K1025" s="442"/>
    </row>
    <row r="1026" spans="10:11" x14ac:dyDescent="0.25">
      <c r="J1026" s="442"/>
      <c r="K1026" s="442"/>
    </row>
    <row r="1027" spans="10:11" x14ac:dyDescent="0.25">
      <c r="J1027" s="442"/>
      <c r="K1027" s="442"/>
    </row>
    <row r="1028" spans="10:11" x14ac:dyDescent="0.25">
      <c r="J1028" s="442"/>
      <c r="K1028" s="442"/>
    </row>
    <row r="1029" spans="10:11" x14ac:dyDescent="0.25">
      <c r="J1029" s="442"/>
      <c r="K1029" s="442"/>
    </row>
    <row r="1030" spans="10:11" x14ac:dyDescent="0.25">
      <c r="J1030" s="442"/>
      <c r="K1030" s="442"/>
    </row>
    <row r="1031" spans="10:11" x14ac:dyDescent="0.25">
      <c r="J1031" s="442"/>
      <c r="K1031" s="442"/>
    </row>
    <row r="1032" spans="10:11" x14ac:dyDescent="0.25">
      <c r="J1032" s="442"/>
      <c r="K1032" s="442"/>
    </row>
    <row r="1033" spans="10:11" x14ac:dyDescent="0.25">
      <c r="J1033" s="442"/>
      <c r="K1033" s="442"/>
    </row>
    <row r="1034" spans="10:11" x14ac:dyDescent="0.25">
      <c r="J1034" s="442"/>
      <c r="K1034" s="442"/>
    </row>
    <row r="1035" spans="10:11" x14ac:dyDescent="0.25">
      <c r="J1035" s="442"/>
      <c r="K1035" s="442"/>
    </row>
    <row r="1036" spans="10:11" x14ac:dyDescent="0.25">
      <c r="J1036" s="442"/>
      <c r="K1036" s="442"/>
    </row>
    <row r="1037" spans="10:11" x14ac:dyDescent="0.25">
      <c r="J1037" s="442"/>
      <c r="K1037" s="442"/>
    </row>
    <row r="1038" spans="10:11" x14ac:dyDescent="0.25">
      <c r="J1038" s="442"/>
      <c r="K1038" s="442"/>
    </row>
    <row r="1039" spans="10:11" x14ac:dyDescent="0.25">
      <c r="J1039" s="442"/>
      <c r="K1039" s="442"/>
    </row>
    <row r="1040" spans="10:11" x14ac:dyDescent="0.25">
      <c r="J1040" s="442"/>
      <c r="K1040" s="442"/>
    </row>
    <row r="1041" spans="10:11" x14ac:dyDescent="0.25">
      <c r="J1041" s="442"/>
      <c r="K1041" s="442"/>
    </row>
    <row r="1042" spans="10:11" x14ac:dyDescent="0.25">
      <c r="J1042" s="442"/>
      <c r="K1042" s="442"/>
    </row>
    <row r="1043" spans="10:11" x14ac:dyDescent="0.25">
      <c r="J1043" s="442"/>
      <c r="K1043" s="442"/>
    </row>
    <row r="1044" spans="10:11" x14ac:dyDescent="0.25">
      <c r="J1044" s="442"/>
      <c r="K1044" s="442"/>
    </row>
    <row r="1045" spans="10:11" x14ac:dyDescent="0.25">
      <c r="J1045" s="442"/>
      <c r="K1045" s="442"/>
    </row>
    <row r="1046" spans="10:11" x14ac:dyDescent="0.25">
      <c r="J1046" s="442"/>
      <c r="K1046" s="442"/>
    </row>
    <row r="1047" spans="10:11" x14ac:dyDescent="0.25">
      <c r="J1047" s="442"/>
      <c r="K1047" s="442"/>
    </row>
    <row r="1048" spans="10:11" x14ac:dyDescent="0.25">
      <c r="J1048" s="442"/>
      <c r="K1048" s="442"/>
    </row>
    <row r="1049" spans="10:11" x14ac:dyDescent="0.25">
      <c r="J1049" s="442"/>
      <c r="K1049" s="442"/>
    </row>
    <row r="1050" spans="10:11" x14ac:dyDescent="0.25">
      <c r="J1050" s="442"/>
      <c r="K1050" s="442"/>
    </row>
    <row r="1051" spans="10:11" x14ac:dyDescent="0.25">
      <c r="J1051" s="442"/>
      <c r="K1051" s="442"/>
    </row>
    <row r="1052" spans="10:11" x14ac:dyDescent="0.25">
      <c r="J1052" s="442"/>
      <c r="K1052" s="442"/>
    </row>
    <row r="1053" spans="10:11" x14ac:dyDescent="0.25">
      <c r="J1053" s="442"/>
      <c r="K1053" s="442"/>
    </row>
    <row r="1054" spans="10:11" x14ac:dyDescent="0.25">
      <c r="J1054" s="442"/>
      <c r="K1054" s="442"/>
    </row>
    <row r="1055" spans="10:11" x14ac:dyDescent="0.25">
      <c r="J1055" s="442"/>
      <c r="K1055" s="442"/>
    </row>
    <row r="1056" spans="10:11" x14ac:dyDescent="0.25">
      <c r="J1056" s="442"/>
      <c r="K1056" s="442"/>
    </row>
    <row r="1057" spans="10:11" x14ac:dyDescent="0.25">
      <c r="J1057" s="442"/>
      <c r="K1057" s="442"/>
    </row>
    <row r="1058" spans="10:11" x14ac:dyDescent="0.25">
      <c r="J1058" s="442"/>
      <c r="K1058" s="442"/>
    </row>
    <row r="1059" spans="10:11" x14ac:dyDescent="0.25">
      <c r="J1059" s="442"/>
      <c r="K1059" s="442"/>
    </row>
    <row r="1060" spans="10:11" x14ac:dyDescent="0.25">
      <c r="J1060" s="442"/>
      <c r="K1060" s="442"/>
    </row>
    <row r="1061" spans="10:11" x14ac:dyDescent="0.25">
      <c r="J1061" s="442"/>
      <c r="K1061" s="442"/>
    </row>
    <row r="1062" spans="10:11" x14ac:dyDescent="0.25">
      <c r="J1062" s="442"/>
      <c r="K1062" s="442"/>
    </row>
    <row r="1063" spans="10:11" x14ac:dyDescent="0.25">
      <c r="J1063" s="442"/>
      <c r="K1063" s="442"/>
    </row>
    <row r="1064" spans="10:11" x14ac:dyDescent="0.25">
      <c r="J1064" s="442"/>
      <c r="K1064" s="442"/>
    </row>
    <row r="1065" spans="10:11" x14ac:dyDescent="0.25">
      <c r="J1065" s="442"/>
      <c r="K1065" s="442"/>
    </row>
    <row r="1066" spans="10:11" x14ac:dyDescent="0.25">
      <c r="J1066" s="442"/>
      <c r="K1066" s="442"/>
    </row>
    <row r="1067" spans="10:11" x14ac:dyDescent="0.25">
      <c r="J1067" s="442"/>
      <c r="K1067" s="442"/>
    </row>
    <row r="1068" spans="10:11" x14ac:dyDescent="0.25">
      <c r="J1068" s="442"/>
      <c r="K1068" s="442"/>
    </row>
    <row r="1069" spans="10:11" x14ac:dyDescent="0.25">
      <c r="J1069" s="442"/>
      <c r="K1069" s="442"/>
    </row>
    <row r="1070" spans="10:11" x14ac:dyDescent="0.25">
      <c r="J1070" s="442"/>
      <c r="K1070" s="442"/>
    </row>
    <row r="1071" spans="10:11" x14ac:dyDescent="0.25">
      <c r="J1071" s="442"/>
      <c r="K1071" s="442"/>
    </row>
    <row r="1072" spans="10:11" x14ac:dyDescent="0.25">
      <c r="J1072" s="442"/>
      <c r="K1072" s="442"/>
    </row>
    <row r="1073" spans="10:11" x14ac:dyDescent="0.25">
      <c r="J1073" s="442"/>
      <c r="K1073" s="442"/>
    </row>
    <row r="1074" spans="10:11" x14ac:dyDescent="0.25">
      <c r="J1074" s="442"/>
      <c r="K1074" s="442"/>
    </row>
    <row r="1075" spans="10:11" x14ac:dyDescent="0.25">
      <c r="J1075" s="442"/>
      <c r="K1075" s="442"/>
    </row>
    <row r="1076" spans="10:11" x14ac:dyDescent="0.25">
      <c r="J1076" s="442"/>
      <c r="K1076" s="442"/>
    </row>
    <row r="1077" spans="10:11" x14ac:dyDescent="0.25">
      <c r="J1077" s="442"/>
      <c r="K1077" s="442"/>
    </row>
    <row r="1078" spans="10:11" x14ac:dyDescent="0.25">
      <c r="J1078" s="442"/>
      <c r="K1078" s="442"/>
    </row>
    <row r="1079" spans="10:11" x14ac:dyDescent="0.25">
      <c r="J1079" s="442"/>
      <c r="K1079" s="442"/>
    </row>
    <row r="1080" spans="10:11" x14ac:dyDescent="0.25">
      <c r="J1080" s="442"/>
      <c r="K1080" s="442"/>
    </row>
    <row r="1081" spans="10:11" x14ac:dyDescent="0.25">
      <c r="J1081" s="442"/>
      <c r="K1081" s="442"/>
    </row>
    <row r="1082" spans="10:11" x14ac:dyDescent="0.25">
      <c r="J1082" s="442"/>
      <c r="K1082" s="442"/>
    </row>
    <row r="1083" spans="10:11" x14ac:dyDescent="0.25">
      <c r="J1083" s="442"/>
      <c r="K1083" s="442"/>
    </row>
    <row r="1084" spans="10:11" x14ac:dyDescent="0.25">
      <c r="J1084" s="442"/>
      <c r="K1084" s="442"/>
    </row>
    <row r="1085" spans="10:11" x14ac:dyDescent="0.25">
      <c r="J1085" s="442"/>
      <c r="K1085" s="442"/>
    </row>
    <row r="1086" spans="10:11" x14ac:dyDescent="0.25">
      <c r="J1086" s="442"/>
      <c r="K1086" s="442"/>
    </row>
    <row r="1087" spans="10:11" x14ac:dyDescent="0.25">
      <c r="J1087" s="442"/>
      <c r="K1087" s="442"/>
    </row>
    <row r="1088" spans="10:11" x14ac:dyDescent="0.25">
      <c r="J1088" s="442"/>
      <c r="K1088" s="442"/>
    </row>
    <row r="1089" spans="10:11" x14ac:dyDescent="0.25">
      <c r="J1089" s="442"/>
      <c r="K1089" s="442"/>
    </row>
    <row r="1090" spans="10:11" x14ac:dyDescent="0.25">
      <c r="J1090" s="442"/>
      <c r="K1090" s="442"/>
    </row>
    <row r="1091" spans="10:11" x14ac:dyDescent="0.25">
      <c r="J1091" s="442"/>
      <c r="K1091" s="442"/>
    </row>
    <row r="1092" spans="10:11" x14ac:dyDescent="0.25">
      <c r="J1092" s="442"/>
      <c r="K1092" s="442"/>
    </row>
    <row r="1093" spans="10:11" x14ac:dyDescent="0.25">
      <c r="J1093" s="442"/>
      <c r="K1093" s="442"/>
    </row>
    <row r="1094" spans="10:11" x14ac:dyDescent="0.25">
      <c r="J1094" s="442"/>
      <c r="K1094" s="442"/>
    </row>
    <row r="1095" spans="10:11" x14ac:dyDescent="0.25">
      <c r="J1095" s="442"/>
      <c r="K1095" s="442"/>
    </row>
    <row r="1096" spans="10:11" x14ac:dyDescent="0.25">
      <c r="J1096" s="442"/>
      <c r="K1096" s="442"/>
    </row>
    <row r="1097" spans="10:11" x14ac:dyDescent="0.25">
      <c r="J1097" s="442"/>
      <c r="K1097" s="442"/>
    </row>
    <row r="1098" spans="10:11" x14ac:dyDescent="0.25">
      <c r="J1098" s="442"/>
      <c r="K1098" s="442"/>
    </row>
    <row r="1099" spans="10:11" x14ac:dyDescent="0.25">
      <c r="J1099" s="442"/>
      <c r="K1099" s="442"/>
    </row>
    <row r="1100" spans="10:11" x14ac:dyDescent="0.25">
      <c r="J1100" s="442"/>
      <c r="K1100" s="442"/>
    </row>
    <row r="1101" spans="10:11" x14ac:dyDescent="0.25">
      <c r="J1101" s="442"/>
      <c r="K1101" s="442"/>
    </row>
    <row r="1102" spans="10:11" x14ac:dyDescent="0.25">
      <c r="J1102" s="442"/>
      <c r="K1102" s="442"/>
    </row>
    <row r="1103" spans="10:11" x14ac:dyDescent="0.25">
      <c r="J1103" s="442"/>
      <c r="K1103" s="442"/>
    </row>
    <row r="1104" spans="10:11" x14ac:dyDescent="0.25">
      <c r="J1104" s="442"/>
      <c r="K1104" s="442"/>
    </row>
    <row r="1105" spans="10:11" x14ac:dyDescent="0.25">
      <c r="J1105" s="442"/>
      <c r="K1105" s="442"/>
    </row>
    <row r="1106" spans="10:11" x14ac:dyDescent="0.25">
      <c r="J1106" s="442"/>
      <c r="K1106" s="442"/>
    </row>
    <row r="1107" spans="10:11" x14ac:dyDescent="0.25">
      <c r="J1107" s="442"/>
      <c r="K1107" s="442"/>
    </row>
    <row r="1108" spans="10:11" x14ac:dyDescent="0.25">
      <c r="J1108" s="442"/>
      <c r="K1108" s="442"/>
    </row>
    <row r="1109" spans="10:11" x14ac:dyDescent="0.25">
      <c r="J1109" s="442"/>
      <c r="K1109" s="442"/>
    </row>
    <row r="1110" spans="10:11" x14ac:dyDescent="0.25">
      <c r="J1110" s="442"/>
      <c r="K1110" s="442"/>
    </row>
    <row r="1111" spans="10:11" x14ac:dyDescent="0.25">
      <c r="J1111" s="442"/>
      <c r="K1111" s="442"/>
    </row>
    <row r="1112" spans="10:11" x14ac:dyDescent="0.25">
      <c r="J1112" s="442"/>
      <c r="K1112" s="442"/>
    </row>
    <row r="1113" spans="10:11" x14ac:dyDescent="0.25">
      <c r="J1113" s="442"/>
      <c r="K1113" s="442"/>
    </row>
    <row r="1114" spans="10:11" x14ac:dyDescent="0.25">
      <c r="J1114" s="442"/>
      <c r="K1114" s="442"/>
    </row>
    <row r="1115" spans="10:11" x14ac:dyDescent="0.25">
      <c r="J1115" s="442"/>
      <c r="K1115" s="442"/>
    </row>
    <row r="1116" spans="10:11" x14ac:dyDescent="0.25">
      <c r="J1116" s="442"/>
      <c r="K1116" s="442"/>
    </row>
    <row r="1117" spans="10:11" x14ac:dyDescent="0.25">
      <c r="J1117" s="442"/>
      <c r="K1117" s="442"/>
    </row>
    <row r="1118" spans="10:11" x14ac:dyDescent="0.25">
      <c r="J1118" s="442"/>
      <c r="K1118" s="442"/>
    </row>
    <row r="1119" spans="10:11" x14ac:dyDescent="0.25">
      <c r="J1119" s="442"/>
      <c r="K1119" s="442"/>
    </row>
    <row r="1120" spans="10:11" x14ac:dyDescent="0.25">
      <c r="J1120" s="442"/>
      <c r="K1120" s="442"/>
    </row>
    <row r="1121" spans="10:11" x14ac:dyDescent="0.25">
      <c r="J1121" s="442"/>
      <c r="K1121" s="442"/>
    </row>
    <row r="1122" spans="10:11" x14ac:dyDescent="0.25">
      <c r="J1122" s="442"/>
      <c r="K1122" s="442"/>
    </row>
    <row r="1123" spans="10:11" x14ac:dyDescent="0.25">
      <c r="J1123" s="442"/>
      <c r="K1123" s="442"/>
    </row>
    <row r="1124" spans="10:11" x14ac:dyDescent="0.25">
      <c r="J1124" s="442"/>
      <c r="K1124" s="442"/>
    </row>
    <row r="1125" spans="10:11" x14ac:dyDescent="0.25">
      <c r="J1125" s="442"/>
      <c r="K1125" s="442"/>
    </row>
    <row r="1126" spans="10:11" x14ac:dyDescent="0.25">
      <c r="J1126" s="442"/>
      <c r="K1126" s="442"/>
    </row>
    <row r="1127" spans="10:11" x14ac:dyDescent="0.25">
      <c r="J1127" s="442"/>
      <c r="K1127" s="442"/>
    </row>
    <row r="1128" spans="10:11" x14ac:dyDescent="0.25">
      <c r="J1128" s="442"/>
      <c r="K1128" s="442"/>
    </row>
    <row r="1129" spans="10:11" x14ac:dyDescent="0.25">
      <c r="J1129" s="442"/>
      <c r="K1129" s="442"/>
    </row>
    <row r="1130" spans="10:11" x14ac:dyDescent="0.25">
      <c r="J1130" s="442"/>
      <c r="K1130" s="442"/>
    </row>
    <row r="1131" spans="10:11" x14ac:dyDescent="0.25">
      <c r="J1131" s="442"/>
      <c r="K1131" s="442"/>
    </row>
    <row r="1132" spans="10:11" x14ac:dyDescent="0.25">
      <c r="J1132" s="442"/>
      <c r="K1132" s="442"/>
    </row>
    <row r="1133" spans="10:11" x14ac:dyDescent="0.25">
      <c r="J1133" s="442"/>
      <c r="K1133" s="442"/>
    </row>
    <row r="1134" spans="10:11" x14ac:dyDescent="0.25">
      <c r="J1134" s="442"/>
      <c r="K1134" s="442"/>
    </row>
    <row r="1135" spans="10:11" x14ac:dyDescent="0.25">
      <c r="J1135" s="442"/>
      <c r="K1135" s="442"/>
    </row>
    <row r="1136" spans="10:11" x14ac:dyDescent="0.25">
      <c r="J1136" s="442"/>
      <c r="K1136" s="442"/>
    </row>
    <row r="1137" spans="10:11" x14ac:dyDescent="0.25">
      <c r="J1137" s="442"/>
      <c r="K1137" s="442"/>
    </row>
    <row r="1138" spans="10:11" x14ac:dyDescent="0.25">
      <c r="J1138" s="442"/>
      <c r="K1138" s="442"/>
    </row>
    <row r="1139" spans="10:11" x14ac:dyDescent="0.25">
      <c r="J1139" s="442"/>
      <c r="K1139" s="442"/>
    </row>
    <row r="1140" spans="10:11" x14ac:dyDescent="0.25">
      <c r="J1140" s="442"/>
      <c r="K1140" s="442"/>
    </row>
    <row r="1141" spans="10:11" x14ac:dyDescent="0.25">
      <c r="J1141" s="442"/>
      <c r="K1141" s="442"/>
    </row>
    <row r="1142" spans="10:11" x14ac:dyDescent="0.25">
      <c r="J1142" s="442"/>
      <c r="K1142" s="442"/>
    </row>
    <row r="1143" spans="10:11" x14ac:dyDescent="0.25">
      <c r="J1143" s="442"/>
      <c r="K1143" s="442"/>
    </row>
    <row r="1144" spans="10:11" x14ac:dyDescent="0.25">
      <c r="J1144" s="442"/>
      <c r="K1144" s="442"/>
    </row>
    <row r="1145" spans="10:11" x14ac:dyDescent="0.25">
      <c r="J1145" s="442"/>
      <c r="K1145" s="442"/>
    </row>
    <row r="1146" spans="10:11" x14ac:dyDescent="0.25">
      <c r="J1146" s="442"/>
      <c r="K1146" s="442"/>
    </row>
    <row r="1147" spans="10:11" x14ac:dyDescent="0.25">
      <c r="J1147" s="442"/>
      <c r="K1147" s="442"/>
    </row>
    <row r="1148" spans="10:11" x14ac:dyDescent="0.25">
      <c r="J1148" s="442"/>
      <c r="K1148" s="442"/>
    </row>
    <row r="1149" spans="10:11" x14ac:dyDescent="0.25">
      <c r="J1149" s="442"/>
      <c r="K1149" s="442"/>
    </row>
    <row r="1150" spans="10:11" x14ac:dyDescent="0.25">
      <c r="J1150" s="442"/>
      <c r="K1150" s="442"/>
    </row>
    <row r="1151" spans="10:11" x14ac:dyDescent="0.25">
      <c r="J1151" s="442"/>
      <c r="K1151" s="442"/>
    </row>
    <row r="1152" spans="10:11" x14ac:dyDescent="0.25">
      <c r="J1152" s="442"/>
      <c r="K1152" s="442"/>
    </row>
    <row r="1153" spans="10:11" x14ac:dyDescent="0.25">
      <c r="J1153" s="442"/>
      <c r="K1153" s="442"/>
    </row>
    <row r="1154" spans="10:11" x14ac:dyDescent="0.25">
      <c r="J1154" s="442"/>
      <c r="K1154" s="442"/>
    </row>
    <row r="1155" spans="10:11" x14ac:dyDescent="0.25">
      <c r="J1155" s="442"/>
      <c r="K1155" s="442"/>
    </row>
    <row r="1156" spans="10:11" x14ac:dyDescent="0.25">
      <c r="J1156" s="442"/>
      <c r="K1156" s="442"/>
    </row>
    <row r="1157" spans="10:11" x14ac:dyDescent="0.25">
      <c r="J1157" s="442"/>
      <c r="K1157" s="442"/>
    </row>
    <row r="1158" spans="10:11" x14ac:dyDescent="0.25">
      <c r="J1158" s="442"/>
      <c r="K1158" s="442"/>
    </row>
    <row r="1159" spans="10:11" x14ac:dyDescent="0.25">
      <c r="J1159" s="442"/>
      <c r="K1159" s="442"/>
    </row>
    <row r="1160" spans="10:11" x14ac:dyDescent="0.25">
      <c r="J1160" s="442"/>
      <c r="K1160" s="442"/>
    </row>
    <row r="1161" spans="10:11" x14ac:dyDescent="0.25">
      <c r="J1161" s="442"/>
      <c r="K1161" s="442"/>
    </row>
    <row r="1162" spans="10:11" x14ac:dyDescent="0.25">
      <c r="J1162" s="442"/>
      <c r="K1162" s="442"/>
    </row>
    <row r="1163" spans="10:11" x14ac:dyDescent="0.25">
      <c r="J1163" s="442"/>
      <c r="K1163" s="442"/>
    </row>
    <row r="1164" spans="10:11" x14ac:dyDescent="0.25">
      <c r="J1164" s="442"/>
      <c r="K1164" s="442"/>
    </row>
    <row r="1165" spans="10:11" x14ac:dyDescent="0.25">
      <c r="J1165" s="442"/>
      <c r="K1165" s="442"/>
    </row>
    <row r="1166" spans="10:11" x14ac:dyDescent="0.25">
      <c r="J1166" s="442"/>
      <c r="K1166" s="442"/>
    </row>
    <row r="1167" spans="10:11" x14ac:dyDescent="0.25">
      <c r="J1167" s="442"/>
      <c r="K1167" s="442"/>
    </row>
    <row r="1168" spans="10:11" x14ac:dyDescent="0.25">
      <c r="J1168" s="442"/>
      <c r="K1168" s="442"/>
    </row>
    <row r="1169" spans="10:11" x14ac:dyDescent="0.25">
      <c r="J1169" s="442"/>
      <c r="K1169" s="442"/>
    </row>
    <row r="1170" spans="10:11" x14ac:dyDescent="0.25">
      <c r="J1170" s="442"/>
      <c r="K1170" s="442"/>
    </row>
    <row r="1171" spans="10:11" x14ac:dyDescent="0.25">
      <c r="J1171" s="442"/>
      <c r="K1171" s="442"/>
    </row>
    <row r="1172" spans="10:11" x14ac:dyDescent="0.25">
      <c r="J1172" s="442"/>
      <c r="K1172" s="442"/>
    </row>
    <row r="1173" spans="10:11" x14ac:dyDescent="0.25">
      <c r="J1173" s="442"/>
      <c r="K1173" s="442"/>
    </row>
    <row r="1174" spans="10:11" x14ac:dyDescent="0.25">
      <c r="J1174" s="442"/>
      <c r="K1174" s="442"/>
    </row>
    <row r="1175" spans="10:11" x14ac:dyDescent="0.25">
      <c r="J1175" s="442"/>
      <c r="K1175" s="442"/>
    </row>
    <row r="1176" spans="10:11" x14ac:dyDescent="0.25">
      <c r="J1176" s="442"/>
      <c r="K1176" s="442"/>
    </row>
    <row r="1177" spans="10:11" x14ac:dyDescent="0.25">
      <c r="J1177" s="442"/>
      <c r="K1177" s="442"/>
    </row>
    <row r="1178" spans="10:11" x14ac:dyDescent="0.25">
      <c r="J1178" s="442"/>
      <c r="K1178" s="442"/>
    </row>
    <row r="1179" spans="10:11" x14ac:dyDescent="0.25">
      <c r="J1179" s="442"/>
      <c r="K1179" s="442"/>
    </row>
    <row r="1180" spans="10:11" x14ac:dyDescent="0.25">
      <c r="J1180" s="442"/>
      <c r="K1180" s="442"/>
    </row>
    <row r="1181" spans="10:11" x14ac:dyDescent="0.25">
      <c r="J1181" s="442"/>
      <c r="K1181" s="442"/>
    </row>
    <row r="1182" spans="10:11" x14ac:dyDescent="0.25">
      <c r="J1182" s="442"/>
      <c r="K1182" s="442"/>
    </row>
    <row r="1183" spans="10:11" x14ac:dyDescent="0.25">
      <c r="J1183" s="442"/>
      <c r="K1183" s="442"/>
    </row>
    <row r="1184" spans="10:11" x14ac:dyDescent="0.25">
      <c r="J1184" s="442"/>
      <c r="K1184" s="442"/>
    </row>
    <row r="1185" spans="10:11" x14ac:dyDescent="0.25">
      <c r="J1185" s="442"/>
      <c r="K1185" s="442"/>
    </row>
    <row r="1186" spans="10:11" x14ac:dyDescent="0.25">
      <c r="J1186" s="442"/>
      <c r="K1186" s="442"/>
    </row>
    <row r="1187" spans="10:11" x14ac:dyDescent="0.25">
      <c r="J1187" s="442"/>
      <c r="K1187" s="442"/>
    </row>
    <row r="1188" spans="10:11" x14ac:dyDescent="0.25">
      <c r="J1188" s="442"/>
      <c r="K1188" s="442"/>
    </row>
    <row r="1189" spans="10:11" x14ac:dyDescent="0.25">
      <c r="J1189" s="442"/>
      <c r="K1189" s="442"/>
    </row>
    <row r="1190" spans="10:11" x14ac:dyDescent="0.25">
      <c r="J1190" s="442"/>
      <c r="K1190" s="442"/>
    </row>
    <row r="1191" spans="10:11" x14ac:dyDescent="0.25">
      <c r="J1191" s="442"/>
      <c r="K1191" s="442"/>
    </row>
    <row r="1192" spans="10:11" x14ac:dyDescent="0.25">
      <c r="J1192" s="442"/>
      <c r="K1192" s="442"/>
    </row>
    <row r="1193" spans="10:11" x14ac:dyDescent="0.25">
      <c r="J1193" s="442"/>
      <c r="K1193" s="442"/>
    </row>
    <row r="1194" spans="10:11" x14ac:dyDescent="0.25">
      <c r="J1194" s="442"/>
      <c r="K1194" s="442"/>
    </row>
    <row r="1195" spans="10:11" x14ac:dyDescent="0.25">
      <c r="J1195" s="442"/>
      <c r="K1195" s="442"/>
    </row>
    <row r="1196" spans="10:11" x14ac:dyDescent="0.25">
      <c r="J1196" s="442"/>
      <c r="K1196" s="442"/>
    </row>
    <row r="1197" spans="10:11" x14ac:dyDescent="0.25">
      <c r="J1197" s="442"/>
      <c r="K1197" s="442"/>
    </row>
    <row r="1198" spans="10:11" x14ac:dyDescent="0.25">
      <c r="J1198" s="442"/>
      <c r="K1198" s="442"/>
    </row>
    <row r="1199" spans="10:11" x14ac:dyDescent="0.25">
      <c r="J1199" s="442"/>
      <c r="K1199" s="442"/>
    </row>
    <row r="1200" spans="10:11" x14ac:dyDescent="0.25">
      <c r="J1200" s="442"/>
      <c r="K1200" s="442"/>
    </row>
    <row r="1201" spans="10:11" x14ac:dyDescent="0.25">
      <c r="J1201" s="442"/>
      <c r="K1201" s="442"/>
    </row>
    <row r="1202" spans="10:11" x14ac:dyDescent="0.25">
      <c r="J1202" s="442"/>
      <c r="K1202" s="442"/>
    </row>
    <row r="1203" spans="10:11" x14ac:dyDescent="0.25">
      <c r="J1203" s="442"/>
      <c r="K1203" s="442"/>
    </row>
    <row r="1204" spans="10:11" x14ac:dyDescent="0.25">
      <c r="J1204" s="442"/>
      <c r="K1204" s="442"/>
    </row>
    <row r="1205" spans="10:11" x14ac:dyDescent="0.25">
      <c r="J1205" s="442"/>
      <c r="K1205" s="442"/>
    </row>
    <row r="1206" spans="10:11" x14ac:dyDescent="0.25">
      <c r="J1206" s="442"/>
      <c r="K1206" s="442"/>
    </row>
    <row r="1207" spans="10:11" x14ac:dyDescent="0.25">
      <c r="J1207" s="442"/>
      <c r="K1207" s="442"/>
    </row>
    <row r="1208" spans="10:11" x14ac:dyDescent="0.25">
      <c r="J1208" s="442"/>
      <c r="K1208" s="442"/>
    </row>
    <row r="1209" spans="10:11" x14ac:dyDescent="0.25">
      <c r="J1209" s="442"/>
      <c r="K1209" s="442"/>
    </row>
    <row r="1210" spans="10:11" x14ac:dyDescent="0.25">
      <c r="J1210" s="442"/>
      <c r="K1210" s="442"/>
    </row>
    <row r="1211" spans="10:11" x14ac:dyDescent="0.25">
      <c r="J1211" s="442"/>
      <c r="K1211" s="442"/>
    </row>
    <row r="1212" spans="10:11" x14ac:dyDescent="0.25">
      <c r="J1212" s="442"/>
      <c r="K1212" s="442"/>
    </row>
    <row r="1213" spans="10:11" x14ac:dyDescent="0.25">
      <c r="J1213" s="442"/>
      <c r="K1213" s="442"/>
    </row>
    <row r="1214" spans="10:11" x14ac:dyDescent="0.25">
      <c r="J1214" s="442"/>
      <c r="K1214" s="442"/>
    </row>
    <row r="1215" spans="10:11" x14ac:dyDescent="0.25">
      <c r="J1215" s="442"/>
      <c r="K1215" s="442"/>
    </row>
    <row r="1216" spans="10:11" x14ac:dyDescent="0.25">
      <c r="J1216" s="442"/>
      <c r="K1216" s="442"/>
    </row>
    <row r="1217" spans="10:11" x14ac:dyDescent="0.25">
      <c r="J1217" s="442"/>
      <c r="K1217" s="442"/>
    </row>
    <row r="1218" spans="10:11" x14ac:dyDescent="0.25">
      <c r="J1218" s="442"/>
      <c r="K1218" s="442"/>
    </row>
    <row r="1219" spans="10:11" x14ac:dyDescent="0.25">
      <c r="J1219" s="442"/>
      <c r="K1219" s="442"/>
    </row>
    <row r="1220" spans="10:11" x14ac:dyDescent="0.25">
      <c r="J1220" s="442"/>
      <c r="K1220" s="442"/>
    </row>
    <row r="1221" spans="10:11" x14ac:dyDescent="0.25">
      <c r="J1221" s="442"/>
      <c r="K1221" s="442"/>
    </row>
    <row r="1222" spans="10:11" x14ac:dyDescent="0.25">
      <c r="J1222" s="442"/>
      <c r="K1222" s="442"/>
    </row>
    <row r="1223" spans="10:11" x14ac:dyDescent="0.25">
      <c r="J1223" s="442"/>
      <c r="K1223" s="442"/>
    </row>
    <row r="1224" spans="10:11" x14ac:dyDescent="0.25">
      <c r="J1224" s="442"/>
      <c r="K1224" s="442"/>
    </row>
    <row r="1225" spans="10:11" x14ac:dyDescent="0.25">
      <c r="J1225" s="442"/>
      <c r="K1225" s="442"/>
    </row>
    <row r="1226" spans="10:11" x14ac:dyDescent="0.25">
      <c r="J1226" s="442"/>
      <c r="K1226" s="442"/>
    </row>
    <row r="1227" spans="10:11" x14ac:dyDescent="0.25">
      <c r="J1227" s="442"/>
      <c r="K1227" s="442"/>
    </row>
    <row r="1228" spans="10:11" x14ac:dyDescent="0.25">
      <c r="J1228" s="442"/>
      <c r="K1228" s="442"/>
    </row>
    <row r="1229" spans="10:11" x14ac:dyDescent="0.25">
      <c r="J1229" s="442"/>
      <c r="K1229" s="442"/>
    </row>
    <row r="1230" spans="10:11" x14ac:dyDescent="0.25">
      <c r="J1230" s="442"/>
      <c r="K1230" s="442"/>
    </row>
    <row r="1231" spans="10:11" x14ac:dyDescent="0.25">
      <c r="J1231" s="442"/>
      <c r="K1231" s="442"/>
    </row>
    <row r="1232" spans="10:11" x14ac:dyDescent="0.25">
      <c r="J1232" s="442"/>
      <c r="K1232" s="442"/>
    </row>
    <row r="1233" spans="10:11" x14ac:dyDescent="0.25">
      <c r="J1233" s="442"/>
      <c r="K1233" s="442"/>
    </row>
    <row r="1234" spans="10:11" x14ac:dyDescent="0.25">
      <c r="J1234" s="442"/>
      <c r="K1234" s="442"/>
    </row>
    <row r="1235" spans="10:11" x14ac:dyDescent="0.25">
      <c r="J1235" s="442"/>
      <c r="K1235" s="442"/>
    </row>
    <row r="1236" spans="10:11" x14ac:dyDescent="0.25">
      <c r="J1236" s="442"/>
      <c r="K1236" s="442"/>
    </row>
    <row r="1237" spans="10:11" x14ac:dyDescent="0.25">
      <c r="J1237" s="442"/>
      <c r="K1237" s="442"/>
    </row>
    <row r="1238" spans="10:11" x14ac:dyDescent="0.25">
      <c r="J1238" s="442"/>
      <c r="K1238" s="442"/>
    </row>
    <row r="1239" spans="10:11" x14ac:dyDescent="0.25">
      <c r="J1239" s="442"/>
      <c r="K1239" s="442"/>
    </row>
    <row r="1240" spans="10:11" x14ac:dyDescent="0.25">
      <c r="J1240" s="442"/>
      <c r="K1240" s="442"/>
    </row>
    <row r="1241" spans="10:11" x14ac:dyDescent="0.25">
      <c r="J1241" s="442"/>
      <c r="K1241" s="442"/>
    </row>
    <row r="1242" spans="10:11" x14ac:dyDescent="0.25">
      <c r="J1242" s="442"/>
      <c r="K1242" s="442"/>
    </row>
    <row r="1243" spans="10:11" x14ac:dyDescent="0.25">
      <c r="J1243" s="442"/>
      <c r="K1243" s="442"/>
    </row>
    <row r="1244" spans="10:11" x14ac:dyDescent="0.25">
      <c r="J1244" s="442"/>
      <c r="K1244" s="442"/>
    </row>
    <row r="1245" spans="10:11" x14ac:dyDescent="0.25">
      <c r="J1245" s="442"/>
      <c r="K1245" s="442"/>
    </row>
    <row r="1246" spans="10:11" x14ac:dyDescent="0.25">
      <c r="J1246" s="442"/>
      <c r="K1246" s="442"/>
    </row>
    <row r="1247" spans="10:11" x14ac:dyDescent="0.25">
      <c r="J1247" s="442"/>
      <c r="K1247" s="442"/>
    </row>
    <row r="1248" spans="10:11" x14ac:dyDescent="0.25">
      <c r="J1248" s="442"/>
      <c r="K1248" s="442"/>
    </row>
    <row r="1249" spans="10:11" x14ac:dyDescent="0.25">
      <c r="J1249" s="442"/>
      <c r="K1249" s="442"/>
    </row>
    <row r="1250" spans="10:11" x14ac:dyDescent="0.25">
      <c r="J1250" s="442"/>
      <c r="K1250" s="442"/>
    </row>
    <row r="1251" spans="10:11" x14ac:dyDescent="0.25">
      <c r="J1251" s="442"/>
      <c r="K1251" s="442"/>
    </row>
    <row r="1252" spans="10:11" x14ac:dyDescent="0.25">
      <c r="J1252" s="442"/>
      <c r="K1252" s="442"/>
    </row>
    <row r="1253" spans="10:11" x14ac:dyDescent="0.25">
      <c r="J1253" s="442"/>
      <c r="K1253" s="442"/>
    </row>
    <row r="1254" spans="10:11" x14ac:dyDescent="0.25">
      <c r="J1254" s="442"/>
      <c r="K1254" s="442"/>
    </row>
    <row r="1255" spans="10:11" x14ac:dyDescent="0.25">
      <c r="J1255" s="442"/>
      <c r="K1255" s="442"/>
    </row>
    <row r="1256" spans="10:11" x14ac:dyDescent="0.25">
      <c r="J1256" s="442"/>
      <c r="K1256" s="442"/>
    </row>
    <row r="1257" spans="10:11" x14ac:dyDescent="0.25">
      <c r="J1257" s="442"/>
      <c r="K1257" s="442"/>
    </row>
    <row r="1258" spans="10:11" x14ac:dyDescent="0.25">
      <c r="J1258" s="442"/>
      <c r="K1258" s="442"/>
    </row>
    <row r="1259" spans="10:11" x14ac:dyDescent="0.25">
      <c r="J1259" s="442"/>
      <c r="K1259" s="442"/>
    </row>
    <row r="1260" spans="10:11" x14ac:dyDescent="0.25">
      <c r="J1260" s="442"/>
      <c r="K1260" s="442"/>
    </row>
    <row r="1261" spans="10:11" x14ac:dyDescent="0.25">
      <c r="J1261" s="442"/>
      <c r="K1261" s="442"/>
    </row>
    <row r="1262" spans="10:11" x14ac:dyDescent="0.25">
      <c r="J1262" s="442"/>
      <c r="K1262" s="442"/>
    </row>
    <row r="1263" spans="10:11" x14ac:dyDescent="0.25">
      <c r="J1263" s="442"/>
      <c r="K1263" s="442"/>
    </row>
    <row r="1264" spans="10:11" x14ac:dyDescent="0.25">
      <c r="J1264" s="442"/>
      <c r="K1264" s="442"/>
    </row>
    <row r="1265" spans="10:11" x14ac:dyDescent="0.25">
      <c r="J1265" s="442"/>
      <c r="K1265" s="442"/>
    </row>
    <row r="1266" spans="10:11" x14ac:dyDescent="0.25">
      <c r="J1266" s="442"/>
      <c r="K1266" s="442"/>
    </row>
    <row r="1267" spans="10:11" x14ac:dyDescent="0.25">
      <c r="J1267" s="442"/>
      <c r="K1267" s="442"/>
    </row>
    <row r="1268" spans="10:11" x14ac:dyDescent="0.25">
      <c r="J1268" s="442"/>
      <c r="K1268" s="442"/>
    </row>
    <row r="1269" spans="10:11" x14ac:dyDescent="0.25">
      <c r="J1269" s="442"/>
      <c r="K1269" s="442"/>
    </row>
    <row r="1270" spans="10:11" x14ac:dyDescent="0.25">
      <c r="J1270" s="442"/>
      <c r="K1270" s="442"/>
    </row>
    <row r="1271" spans="10:11" x14ac:dyDescent="0.25">
      <c r="J1271" s="442"/>
      <c r="K1271" s="442"/>
    </row>
    <row r="1272" spans="10:11" x14ac:dyDescent="0.25">
      <c r="J1272" s="442"/>
      <c r="K1272" s="442"/>
    </row>
    <row r="1273" spans="10:11" x14ac:dyDescent="0.25">
      <c r="J1273" s="442"/>
      <c r="K1273" s="442"/>
    </row>
    <row r="1274" spans="10:11" x14ac:dyDescent="0.25">
      <c r="J1274" s="442"/>
      <c r="K1274" s="442"/>
    </row>
    <row r="1275" spans="10:11" x14ac:dyDescent="0.25">
      <c r="J1275" s="442"/>
      <c r="K1275" s="442"/>
    </row>
    <row r="1276" spans="10:11" x14ac:dyDescent="0.25">
      <c r="J1276" s="442"/>
      <c r="K1276" s="442"/>
    </row>
    <row r="1277" spans="10:11" x14ac:dyDescent="0.25">
      <c r="J1277" s="442"/>
      <c r="K1277" s="442"/>
    </row>
    <row r="1278" spans="10:11" x14ac:dyDescent="0.25">
      <c r="J1278" s="442"/>
      <c r="K1278" s="442"/>
    </row>
    <row r="1279" spans="10:11" x14ac:dyDescent="0.25">
      <c r="J1279" s="442"/>
      <c r="K1279" s="442"/>
    </row>
    <row r="1280" spans="10:11" x14ac:dyDescent="0.25">
      <c r="J1280" s="442"/>
      <c r="K1280" s="442"/>
    </row>
    <row r="1281" spans="10:11" x14ac:dyDescent="0.25">
      <c r="J1281" s="442"/>
      <c r="K1281" s="442"/>
    </row>
    <row r="1282" spans="10:11" x14ac:dyDescent="0.25">
      <c r="J1282" s="442"/>
      <c r="K1282" s="442"/>
    </row>
    <row r="1283" spans="10:11" x14ac:dyDescent="0.25">
      <c r="J1283" s="442"/>
      <c r="K1283" s="442"/>
    </row>
    <row r="1284" spans="10:11" x14ac:dyDescent="0.25">
      <c r="J1284" s="442"/>
      <c r="K1284" s="442"/>
    </row>
    <row r="1285" spans="10:11" x14ac:dyDescent="0.25">
      <c r="J1285" s="442"/>
      <c r="K1285" s="442"/>
    </row>
    <row r="1286" spans="10:11" x14ac:dyDescent="0.25">
      <c r="J1286" s="442"/>
      <c r="K1286" s="442"/>
    </row>
    <row r="1287" spans="10:11" x14ac:dyDescent="0.25">
      <c r="J1287" s="442"/>
      <c r="K1287" s="442"/>
    </row>
    <row r="1288" spans="10:11" x14ac:dyDescent="0.25">
      <c r="J1288" s="442"/>
      <c r="K1288" s="442"/>
    </row>
    <row r="1289" spans="10:11" x14ac:dyDescent="0.25">
      <c r="J1289" s="442"/>
      <c r="K1289" s="442"/>
    </row>
    <row r="1290" spans="10:11" x14ac:dyDescent="0.25">
      <c r="J1290" s="442"/>
      <c r="K1290" s="442"/>
    </row>
    <row r="1291" spans="10:11" x14ac:dyDescent="0.25">
      <c r="J1291" s="442"/>
      <c r="K1291" s="442"/>
    </row>
    <row r="1292" spans="10:11" x14ac:dyDescent="0.25">
      <c r="J1292" s="442"/>
      <c r="K1292" s="442"/>
    </row>
    <row r="1293" spans="10:11" x14ac:dyDescent="0.25">
      <c r="J1293" s="442"/>
      <c r="K1293" s="442"/>
    </row>
    <row r="1294" spans="10:11" x14ac:dyDescent="0.25">
      <c r="J1294" s="442"/>
      <c r="K1294" s="442"/>
    </row>
    <row r="1295" spans="10:11" x14ac:dyDescent="0.25">
      <c r="J1295" s="442"/>
      <c r="K1295" s="442"/>
    </row>
    <row r="1296" spans="10:11" x14ac:dyDescent="0.25">
      <c r="J1296" s="442"/>
      <c r="K1296" s="442"/>
    </row>
    <row r="1297" spans="10:11" x14ac:dyDescent="0.25">
      <c r="J1297" s="442"/>
      <c r="K1297" s="442"/>
    </row>
    <row r="1298" spans="10:11" x14ac:dyDescent="0.25">
      <c r="J1298" s="442"/>
      <c r="K1298" s="442"/>
    </row>
    <row r="1299" spans="10:11" x14ac:dyDescent="0.25">
      <c r="J1299" s="442"/>
      <c r="K1299" s="442"/>
    </row>
    <row r="1300" spans="10:11" x14ac:dyDescent="0.25">
      <c r="J1300" s="442"/>
      <c r="K1300" s="442"/>
    </row>
    <row r="1301" spans="10:11" x14ac:dyDescent="0.25">
      <c r="J1301" s="442"/>
      <c r="K1301" s="442"/>
    </row>
    <row r="1302" spans="10:11" x14ac:dyDescent="0.25">
      <c r="J1302" s="442"/>
      <c r="K1302" s="442"/>
    </row>
    <row r="1303" spans="10:11" x14ac:dyDescent="0.25">
      <c r="J1303" s="442"/>
      <c r="K1303" s="442"/>
    </row>
    <row r="1304" spans="10:11" x14ac:dyDescent="0.25">
      <c r="J1304" s="442"/>
      <c r="K1304" s="442"/>
    </row>
    <row r="1305" spans="10:11" x14ac:dyDescent="0.25">
      <c r="J1305" s="442"/>
      <c r="K1305" s="442"/>
    </row>
    <row r="1306" spans="10:11" x14ac:dyDescent="0.25">
      <c r="J1306" s="442"/>
      <c r="K1306" s="442"/>
    </row>
    <row r="1307" spans="10:11" x14ac:dyDescent="0.25">
      <c r="J1307" s="442"/>
      <c r="K1307" s="442"/>
    </row>
    <row r="1308" spans="10:11" x14ac:dyDescent="0.25">
      <c r="J1308" s="442"/>
      <c r="K1308" s="442"/>
    </row>
    <row r="1309" spans="10:11" x14ac:dyDescent="0.25">
      <c r="J1309" s="442"/>
      <c r="K1309" s="442"/>
    </row>
    <row r="1310" spans="10:11" x14ac:dyDescent="0.25">
      <c r="J1310" s="442"/>
      <c r="K1310" s="442"/>
    </row>
    <row r="1311" spans="10:11" x14ac:dyDescent="0.25">
      <c r="J1311" s="442"/>
      <c r="K1311" s="442"/>
    </row>
    <row r="1312" spans="10:11" x14ac:dyDescent="0.25">
      <c r="J1312" s="442"/>
      <c r="K1312" s="442"/>
    </row>
    <row r="1313" spans="10:11" x14ac:dyDescent="0.25">
      <c r="J1313" s="442"/>
      <c r="K1313" s="442"/>
    </row>
    <row r="1314" spans="10:11" x14ac:dyDescent="0.25">
      <c r="J1314" s="442"/>
      <c r="K1314" s="442"/>
    </row>
    <row r="1315" spans="10:11" x14ac:dyDescent="0.25">
      <c r="J1315" s="442"/>
      <c r="K1315" s="442"/>
    </row>
    <row r="1316" spans="10:11" x14ac:dyDescent="0.25">
      <c r="J1316" s="442"/>
      <c r="K1316" s="442"/>
    </row>
    <row r="1317" spans="10:11" x14ac:dyDescent="0.25">
      <c r="J1317" s="442"/>
      <c r="K1317" s="442"/>
    </row>
    <row r="1318" spans="10:11" x14ac:dyDescent="0.25">
      <c r="J1318" s="442"/>
      <c r="K1318" s="442"/>
    </row>
    <row r="1319" spans="10:11" x14ac:dyDescent="0.25">
      <c r="J1319" s="442"/>
      <c r="K1319" s="442"/>
    </row>
    <row r="1320" spans="10:11" x14ac:dyDescent="0.25">
      <c r="J1320" s="442"/>
      <c r="K1320" s="442"/>
    </row>
  </sheetData>
  <sheetProtection algorithmName="SHA-512" hashValue="2o8bB16Fko2NrMUjWACrg9lGlMfGrf0hk9PAenxvcpuqFF6lLR5qpL6T4SvTJUUIa2Hyw8Qz86gXyOMANCsfTQ==" saltValue="q3v6swAr4cimFN6moIdTeA==" spinCount="100000" sheet="1" objects="1" scenarios="1"/>
  <protectedRanges>
    <protectedRange sqref="H21:I21" name="Rango1"/>
    <protectedRange sqref="A22" name="Rango2"/>
    <protectedRange sqref="B14:B17" name="Rango3"/>
  </protectedRanges>
  <mergeCells count="52">
    <mergeCell ref="B1:K2"/>
    <mergeCell ref="A175:M175"/>
    <mergeCell ref="A176:E176"/>
    <mergeCell ref="F176:G176"/>
    <mergeCell ref="H176:J176"/>
    <mergeCell ref="K176:M176"/>
    <mergeCell ref="A168:M170"/>
    <mergeCell ref="A171:J171"/>
    <mergeCell ref="K171:M171"/>
    <mergeCell ref="A172:M172"/>
    <mergeCell ref="A173:E174"/>
    <mergeCell ref="F173:J174"/>
    <mergeCell ref="K173:M174"/>
    <mergeCell ref="A165:H165"/>
    <mergeCell ref="D152:I152"/>
    <mergeCell ref="A155:F155"/>
    <mergeCell ref="A159:F159"/>
    <mergeCell ref="A160:F160"/>
    <mergeCell ref="G161:J161"/>
    <mergeCell ref="A163:E164"/>
    <mergeCell ref="D148:I148"/>
    <mergeCell ref="G155:J155"/>
    <mergeCell ref="A156:F156"/>
    <mergeCell ref="G156:H156"/>
    <mergeCell ref="A157:F157"/>
    <mergeCell ref="A158:F158"/>
    <mergeCell ref="A125:B125"/>
    <mergeCell ref="A127:L127"/>
    <mergeCell ref="A129:L129"/>
    <mergeCell ref="A132:F132"/>
    <mergeCell ref="G132:L132"/>
    <mergeCell ref="A139:K139"/>
    <mergeCell ref="A140:B140"/>
    <mergeCell ref="A141:B141"/>
    <mergeCell ref="A142:B142"/>
    <mergeCell ref="A144:B144"/>
    <mergeCell ref="A146:G146"/>
    <mergeCell ref="B5:C5"/>
    <mergeCell ref="A1:A2"/>
    <mergeCell ref="B4:E4"/>
    <mergeCell ref="A124:B124"/>
    <mergeCell ref="B6:C6"/>
    <mergeCell ref="C7:D7"/>
    <mergeCell ref="A8:H8"/>
    <mergeCell ref="A10:H10"/>
    <mergeCell ref="A17:F17"/>
    <mergeCell ref="A19:L19"/>
    <mergeCell ref="A20:L20"/>
    <mergeCell ref="A21:G21"/>
    <mergeCell ref="A22:D22"/>
    <mergeCell ref="E22:I22"/>
    <mergeCell ref="A123:B123"/>
  </mergeCells>
  <conditionalFormatting sqref="H164">
    <cfRule type="expression" dxfId="241" priority="13">
      <formula>$H$164="EFICAZ"</formula>
    </cfRule>
    <cfRule type="expression" dxfId="240" priority="14">
      <formula>$H$164="INEFICAZ"</formula>
    </cfRule>
  </conditionalFormatting>
  <conditionalFormatting sqref="J80:K80">
    <cfRule type="expression" dxfId="239" priority="15">
      <formula>$J$80="NO"</formula>
    </cfRule>
    <cfRule type="expression" dxfId="238" priority="16">
      <formula>$J$80="SI"</formula>
    </cfRule>
  </conditionalFormatting>
  <conditionalFormatting sqref="A1:B1">
    <cfRule type="cellIs" dxfId="237" priority="1" operator="equal">
      <formula>"ERROR"</formula>
    </cfRule>
  </conditionalFormatting>
  <conditionalFormatting sqref="L1:L2">
    <cfRule type="cellIs" dxfId="236" priority="2" operator="equal">
      <formula>"INEXISTENTE"</formula>
    </cfRule>
    <cfRule type="cellIs" dxfId="235" priority="3" operator="equal">
      <formula>"INADECUADO"</formula>
    </cfRule>
    <cfRule type="cellIs" dxfId="234" priority="4" operator="equal">
      <formula>"PARCIALMENTE ADECUADO"</formula>
    </cfRule>
    <cfRule type="cellIs" dxfId="233" priority="5" operator="equal">
      <formula>"ADECUADO"</formula>
    </cfRule>
    <cfRule type="cellIs" dxfId="232" priority="6" operator="equal">
      <formula>"ERROR"</formula>
    </cfRule>
  </conditionalFormatting>
  <dataValidations disablePrompts="1" count="3">
    <dataValidation type="list" allowBlank="1" showInputMessage="1" showErrorMessage="1" sqref="J24:J78 WVR983077:WVR983130 WLV983077:WLV983130 WBZ983077:WBZ983130 VSD983077:VSD983130 VIH983077:VIH983130 UYL983077:UYL983130 UOP983077:UOP983130 UET983077:UET983130 TUX983077:TUX983130 TLB983077:TLB983130 TBF983077:TBF983130 SRJ983077:SRJ983130 SHN983077:SHN983130 RXR983077:RXR983130 RNV983077:RNV983130 RDZ983077:RDZ983130 QUD983077:QUD983130 QKH983077:QKH983130 QAL983077:QAL983130 PQP983077:PQP983130 PGT983077:PGT983130 OWX983077:OWX983130 ONB983077:ONB983130 ODF983077:ODF983130 NTJ983077:NTJ983130 NJN983077:NJN983130 MZR983077:MZR983130 MPV983077:MPV983130 MFZ983077:MFZ983130 LWD983077:LWD983130 LMH983077:LMH983130 LCL983077:LCL983130 KSP983077:KSP983130 KIT983077:KIT983130 JYX983077:JYX983130 JPB983077:JPB983130 JFF983077:JFF983130 IVJ983077:IVJ983130 ILN983077:ILN983130 IBR983077:IBR983130 HRV983077:HRV983130 HHZ983077:HHZ983130 GYD983077:GYD983130 GOH983077:GOH983130 GEL983077:GEL983130 FUP983077:FUP983130 FKT983077:FKT983130 FAX983077:FAX983130 ERB983077:ERB983130 EHF983077:EHF983130 DXJ983077:DXJ983130 DNN983077:DNN983130 DDR983077:DDR983130 CTV983077:CTV983130 CJZ983077:CJZ983130 CAD983077:CAD983130 BQH983077:BQH983130 BGL983077:BGL983130 AWP983077:AWP983130 AMT983077:AMT983130 ACX983077:ACX983130 TB983077:TB983130 JF983077:JF983130 J983077:J983130 WVR917541:WVR917594 WLV917541:WLV917594 WBZ917541:WBZ917594 VSD917541:VSD917594 VIH917541:VIH917594 UYL917541:UYL917594 UOP917541:UOP917594 UET917541:UET917594 TUX917541:TUX917594 TLB917541:TLB917594 TBF917541:TBF917594 SRJ917541:SRJ917594 SHN917541:SHN917594 RXR917541:RXR917594 RNV917541:RNV917594 RDZ917541:RDZ917594 QUD917541:QUD917594 QKH917541:QKH917594 QAL917541:QAL917594 PQP917541:PQP917594 PGT917541:PGT917594 OWX917541:OWX917594 ONB917541:ONB917594 ODF917541:ODF917594 NTJ917541:NTJ917594 NJN917541:NJN917594 MZR917541:MZR917594 MPV917541:MPV917594 MFZ917541:MFZ917594 LWD917541:LWD917594 LMH917541:LMH917594 LCL917541:LCL917594 KSP917541:KSP917594 KIT917541:KIT917594 JYX917541:JYX917594 JPB917541:JPB917594 JFF917541:JFF917594 IVJ917541:IVJ917594 ILN917541:ILN917594 IBR917541:IBR917594 HRV917541:HRV917594 HHZ917541:HHZ917594 GYD917541:GYD917594 GOH917541:GOH917594 GEL917541:GEL917594 FUP917541:FUP917594 FKT917541:FKT917594 FAX917541:FAX917594 ERB917541:ERB917594 EHF917541:EHF917594 DXJ917541:DXJ917594 DNN917541:DNN917594 DDR917541:DDR917594 CTV917541:CTV917594 CJZ917541:CJZ917594 CAD917541:CAD917594 BQH917541:BQH917594 BGL917541:BGL917594 AWP917541:AWP917594 AMT917541:AMT917594 ACX917541:ACX917594 TB917541:TB917594 JF917541:JF917594 J917541:J917594 WVR852005:WVR852058 WLV852005:WLV852058 WBZ852005:WBZ852058 VSD852005:VSD852058 VIH852005:VIH852058 UYL852005:UYL852058 UOP852005:UOP852058 UET852005:UET852058 TUX852005:TUX852058 TLB852005:TLB852058 TBF852005:TBF852058 SRJ852005:SRJ852058 SHN852005:SHN852058 RXR852005:RXR852058 RNV852005:RNV852058 RDZ852005:RDZ852058 QUD852005:QUD852058 QKH852005:QKH852058 QAL852005:QAL852058 PQP852005:PQP852058 PGT852005:PGT852058 OWX852005:OWX852058 ONB852005:ONB852058 ODF852005:ODF852058 NTJ852005:NTJ852058 NJN852005:NJN852058 MZR852005:MZR852058 MPV852005:MPV852058 MFZ852005:MFZ852058 LWD852005:LWD852058 LMH852005:LMH852058 LCL852005:LCL852058 KSP852005:KSP852058 KIT852005:KIT852058 JYX852005:JYX852058 JPB852005:JPB852058 JFF852005:JFF852058 IVJ852005:IVJ852058 ILN852005:ILN852058 IBR852005:IBR852058 HRV852005:HRV852058 HHZ852005:HHZ852058 GYD852005:GYD852058 GOH852005:GOH852058 GEL852005:GEL852058 FUP852005:FUP852058 FKT852005:FKT852058 FAX852005:FAX852058 ERB852005:ERB852058 EHF852005:EHF852058 DXJ852005:DXJ852058 DNN852005:DNN852058 DDR852005:DDR852058 CTV852005:CTV852058 CJZ852005:CJZ852058 CAD852005:CAD852058 BQH852005:BQH852058 BGL852005:BGL852058 AWP852005:AWP852058 AMT852005:AMT852058 ACX852005:ACX852058 TB852005:TB852058 JF852005:JF852058 J852005:J852058 WVR786469:WVR786522 WLV786469:WLV786522 WBZ786469:WBZ786522 VSD786469:VSD786522 VIH786469:VIH786522 UYL786469:UYL786522 UOP786469:UOP786522 UET786469:UET786522 TUX786469:TUX786522 TLB786469:TLB786522 TBF786469:TBF786522 SRJ786469:SRJ786522 SHN786469:SHN786522 RXR786469:RXR786522 RNV786469:RNV786522 RDZ786469:RDZ786522 QUD786469:QUD786522 QKH786469:QKH786522 QAL786469:QAL786522 PQP786469:PQP786522 PGT786469:PGT786522 OWX786469:OWX786522 ONB786469:ONB786522 ODF786469:ODF786522 NTJ786469:NTJ786522 NJN786469:NJN786522 MZR786469:MZR786522 MPV786469:MPV786522 MFZ786469:MFZ786522 LWD786469:LWD786522 LMH786469:LMH786522 LCL786469:LCL786522 KSP786469:KSP786522 KIT786469:KIT786522 JYX786469:JYX786522 JPB786469:JPB786522 JFF786469:JFF786522 IVJ786469:IVJ786522 ILN786469:ILN786522 IBR786469:IBR786522 HRV786469:HRV786522 HHZ786469:HHZ786522 GYD786469:GYD786522 GOH786469:GOH786522 GEL786469:GEL786522 FUP786469:FUP786522 FKT786469:FKT786522 FAX786469:FAX786522 ERB786469:ERB786522 EHF786469:EHF786522 DXJ786469:DXJ786522 DNN786469:DNN786522 DDR786469:DDR786522 CTV786469:CTV786522 CJZ786469:CJZ786522 CAD786469:CAD786522 BQH786469:BQH786522 BGL786469:BGL786522 AWP786469:AWP786522 AMT786469:AMT786522 ACX786469:ACX786522 TB786469:TB786522 JF786469:JF786522 J786469:J786522 WVR720933:WVR720986 WLV720933:WLV720986 WBZ720933:WBZ720986 VSD720933:VSD720986 VIH720933:VIH720986 UYL720933:UYL720986 UOP720933:UOP720986 UET720933:UET720986 TUX720933:TUX720986 TLB720933:TLB720986 TBF720933:TBF720986 SRJ720933:SRJ720986 SHN720933:SHN720986 RXR720933:RXR720986 RNV720933:RNV720986 RDZ720933:RDZ720986 QUD720933:QUD720986 QKH720933:QKH720986 QAL720933:QAL720986 PQP720933:PQP720986 PGT720933:PGT720986 OWX720933:OWX720986 ONB720933:ONB720986 ODF720933:ODF720986 NTJ720933:NTJ720986 NJN720933:NJN720986 MZR720933:MZR720986 MPV720933:MPV720986 MFZ720933:MFZ720986 LWD720933:LWD720986 LMH720933:LMH720986 LCL720933:LCL720986 KSP720933:KSP720986 KIT720933:KIT720986 JYX720933:JYX720986 JPB720933:JPB720986 JFF720933:JFF720986 IVJ720933:IVJ720986 ILN720933:ILN720986 IBR720933:IBR720986 HRV720933:HRV720986 HHZ720933:HHZ720986 GYD720933:GYD720986 GOH720933:GOH720986 GEL720933:GEL720986 FUP720933:FUP720986 FKT720933:FKT720986 FAX720933:FAX720986 ERB720933:ERB720986 EHF720933:EHF720986 DXJ720933:DXJ720986 DNN720933:DNN720986 DDR720933:DDR720986 CTV720933:CTV720986 CJZ720933:CJZ720986 CAD720933:CAD720986 BQH720933:BQH720986 BGL720933:BGL720986 AWP720933:AWP720986 AMT720933:AMT720986 ACX720933:ACX720986 TB720933:TB720986 JF720933:JF720986 J720933:J720986 WVR655397:WVR655450 WLV655397:WLV655450 WBZ655397:WBZ655450 VSD655397:VSD655450 VIH655397:VIH655450 UYL655397:UYL655450 UOP655397:UOP655450 UET655397:UET655450 TUX655397:TUX655450 TLB655397:TLB655450 TBF655397:TBF655450 SRJ655397:SRJ655450 SHN655397:SHN655450 RXR655397:RXR655450 RNV655397:RNV655450 RDZ655397:RDZ655450 QUD655397:QUD655450 QKH655397:QKH655450 QAL655397:QAL655450 PQP655397:PQP655450 PGT655397:PGT655450 OWX655397:OWX655450 ONB655397:ONB655450 ODF655397:ODF655450 NTJ655397:NTJ655450 NJN655397:NJN655450 MZR655397:MZR655450 MPV655397:MPV655450 MFZ655397:MFZ655450 LWD655397:LWD655450 LMH655397:LMH655450 LCL655397:LCL655450 KSP655397:KSP655450 KIT655397:KIT655450 JYX655397:JYX655450 JPB655397:JPB655450 JFF655397:JFF655450 IVJ655397:IVJ655450 ILN655397:ILN655450 IBR655397:IBR655450 HRV655397:HRV655450 HHZ655397:HHZ655450 GYD655397:GYD655450 GOH655397:GOH655450 GEL655397:GEL655450 FUP655397:FUP655450 FKT655397:FKT655450 FAX655397:FAX655450 ERB655397:ERB655450 EHF655397:EHF655450 DXJ655397:DXJ655450 DNN655397:DNN655450 DDR655397:DDR655450 CTV655397:CTV655450 CJZ655397:CJZ655450 CAD655397:CAD655450 BQH655397:BQH655450 BGL655397:BGL655450 AWP655397:AWP655450 AMT655397:AMT655450 ACX655397:ACX655450 TB655397:TB655450 JF655397:JF655450 J655397:J655450 WVR589861:WVR589914 WLV589861:WLV589914 WBZ589861:WBZ589914 VSD589861:VSD589914 VIH589861:VIH589914 UYL589861:UYL589914 UOP589861:UOP589914 UET589861:UET589914 TUX589861:TUX589914 TLB589861:TLB589914 TBF589861:TBF589914 SRJ589861:SRJ589914 SHN589861:SHN589914 RXR589861:RXR589914 RNV589861:RNV589914 RDZ589861:RDZ589914 QUD589861:QUD589914 QKH589861:QKH589914 QAL589861:QAL589914 PQP589861:PQP589914 PGT589861:PGT589914 OWX589861:OWX589914 ONB589861:ONB589914 ODF589861:ODF589914 NTJ589861:NTJ589914 NJN589861:NJN589914 MZR589861:MZR589914 MPV589861:MPV589914 MFZ589861:MFZ589914 LWD589861:LWD589914 LMH589861:LMH589914 LCL589861:LCL589914 KSP589861:KSP589914 KIT589861:KIT589914 JYX589861:JYX589914 JPB589861:JPB589914 JFF589861:JFF589914 IVJ589861:IVJ589914 ILN589861:ILN589914 IBR589861:IBR589914 HRV589861:HRV589914 HHZ589861:HHZ589914 GYD589861:GYD589914 GOH589861:GOH589914 GEL589861:GEL589914 FUP589861:FUP589914 FKT589861:FKT589914 FAX589861:FAX589914 ERB589861:ERB589914 EHF589861:EHF589914 DXJ589861:DXJ589914 DNN589861:DNN589914 DDR589861:DDR589914 CTV589861:CTV589914 CJZ589861:CJZ589914 CAD589861:CAD589914 BQH589861:BQH589914 BGL589861:BGL589914 AWP589861:AWP589914 AMT589861:AMT589914 ACX589861:ACX589914 TB589861:TB589914 JF589861:JF589914 J589861:J589914 WVR524325:WVR524378 WLV524325:WLV524378 WBZ524325:WBZ524378 VSD524325:VSD524378 VIH524325:VIH524378 UYL524325:UYL524378 UOP524325:UOP524378 UET524325:UET524378 TUX524325:TUX524378 TLB524325:TLB524378 TBF524325:TBF524378 SRJ524325:SRJ524378 SHN524325:SHN524378 RXR524325:RXR524378 RNV524325:RNV524378 RDZ524325:RDZ524378 QUD524325:QUD524378 QKH524325:QKH524378 QAL524325:QAL524378 PQP524325:PQP524378 PGT524325:PGT524378 OWX524325:OWX524378 ONB524325:ONB524378 ODF524325:ODF524378 NTJ524325:NTJ524378 NJN524325:NJN524378 MZR524325:MZR524378 MPV524325:MPV524378 MFZ524325:MFZ524378 LWD524325:LWD524378 LMH524325:LMH524378 LCL524325:LCL524378 KSP524325:KSP524378 KIT524325:KIT524378 JYX524325:JYX524378 JPB524325:JPB524378 JFF524325:JFF524378 IVJ524325:IVJ524378 ILN524325:ILN524378 IBR524325:IBR524378 HRV524325:HRV524378 HHZ524325:HHZ524378 GYD524325:GYD524378 GOH524325:GOH524378 GEL524325:GEL524378 FUP524325:FUP524378 FKT524325:FKT524378 FAX524325:FAX524378 ERB524325:ERB524378 EHF524325:EHF524378 DXJ524325:DXJ524378 DNN524325:DNN524378 DDR524325:DDR524378 CTV524325:CTV524378 CJZ524325:CJZ524378 CAD524325:CAD524378 BQH524325:BQH524378 BGL524325:BGL524378 AWP524325:AWP524378 AMT524325:AMT524378 ACX524325:ACX524378 TB524325:TB524378 JF524325:JF524378 J524325:J524378 WVR458789:WVR458842 WLV458789:WLV458842 WBZ458789:WBZ458842 VSD458789:VSD458842 VIH458789:VIH458842 UYL458789:UYL458842 UOP458789:UOP458842 UET458789:UET458842 TUX458789:TUX458842 TLB458789:TLB458842 TBF458789:TBF458842 SRJ458789:SRJ458842 SHN458789:SHN458842 RXR458789:RXR458842 RNV458789:RNV458842 RDZ458789:RDZ458842 QUD458789:QUD458842 QKH458789:QKH458842 QAL458789:QAL458842 PQP458789:PQP458842 PGT458789:PGT458842 OWX458789:OWX458842 ONB458789:ONB458842 ODF458789:ODF458842 NTJ458789:NTJ458842 NJN458789:NJN458842 MZR458789:MZR458842 MPV458789:MPV458842 MFZ458789:MFZ458842 LWD458789:LWD458842 LMH458789:LMH458842 LCL458789:LCL458842 KSP458789:KSP458842 KIT458789:KIT458842 JYX458789:JYX458842 JPB458789:JPB458842 JFF458789:JFF458842 IVJ458789:IVJ458842 ILN458789:ILN458842 IBR458789:IBR458842 HRV458789:HRV458842 HHZ458789:HHZ458842 GYD458789:GYD458842 GOH458789:GOH458842 GEL458789:GEL458842 FUP458789:FUP458842 FKT458789:FKT458842 FAX458789:FAX458842 ERB458789:ERB458842 EHF458789:EHF458842 DXJ458789:DXJ458842 DNN458789:DNN458842 DDR458789:DDR458842 CTV458789:CTV458842 CJZ458789:CJZ458842 CAD458789:CAD458842 BQH458789:BQH458842 BGL458789:BGL458842 AWP458789:AWP458842 AMT458789:AMT458842 ACX458789:ACX458842 TB458789:TB458842 JF458789:JF458842 J458789:J458842 WVR393253:WVR393306 WLV393253:WLV393306 WBZ393253:WBZ393306 VSD393253:VSD393306 VIH393253:VIH393306 UYL393253:UYL393306 UOP393253:UOP393306 UET393253:UET393306 TUX393253:TUX393306 TLB393253:TLB393306 TBF393253:TBF393306 SRJ393253:SRJ393306 SHN393253:SHN393306 RXR393253:RXR393306 RNV393253:RNV393306 RDZ393253:RDZ393306 QUD393253:QUD393306 QKH393253:QKH393306 QAL393253:QAL393306 PQP393253:PQP393306 PGT393253:PGT393306 OWX393253:OWX393306 ONB393253:ONB393306 ODF393253:ODF393306 NTJ393253:NTJ393306 NJN393253:NJN393306 MZR393253:MZR393306 MPV393253:MPV393306 MFZ393253:MFZ393306 LWD393253:LWD393306 LMH393253:LMH393306 LCL393253:LCL393306 KSP393253:KSP393306 KIT393253:KIT393306 JYX393253:JYX393306 JPB393253:JPB393306 JFF393253:JFF393306 IVJ393253:IVJ393306 ILN393253:ILN393306 IBR393253:IBR393306 HRV393253:HRV393306 HHZ393253:HHZ393306 GYD393253:GYD393306 GOH393253:GOH393306 GEL393253:GEL393306 FUP393253:FUP393306 FKT393253:FKT393306 FAX393253:FAX393306 ERB393253:ERB393306 EHF393253:EHF393306 DXJ393253:DXJ393306 DNN393253:DNN393306 DDR393253:DDR393306 CTV393253:CTV393306 CJZ393253:CJZ393306 CAD393253:CAD393306 BQH393253:BQH393306 BGL393253:BGL393306 AWP393253:AWP393306 AMT393253:AMT393306 ACX393253:ACX393306 TB393253:TB393306 JF393253:JF393306 J393253:J393306 WVR327717:WVR327770 WLV327717:WLV327770 WBZ327717:WBZ327770 VSD327717:VSD327770 VIH327717:VIH327770 UYL327717:UYL327770 UOP327717:UOP327770 UET327717:UET327770 TUX327717:TUX327770 TLB327717:TLB327770 TBF327717:TBF327770 SRJ327717:SRJ327770 SHN327717:SHN327770 RXR327717:RXR327770 RNV327717:RNV327770 RDZ327717:RDZ327770 QUD327717:QUD327770 QKH327717:QKH327770 QAL327717:QAL327770 PQP327717:PQP327770 PGT327717:PGT327770 OWX327717:OWX327770 ONB327717:ONB327770 ODF327717:ODF327770 NTJ327717:NTJ327770 NJN327717:NJN327770 MZR327717:MZR327770 MPV327717:MPV327770 MFZ327717:MFZ327770 LWD327717:LWD327770 LMH327717:LMH327770 LCL327717:LCL327770 KSP327717:KSP327770 KIT327717:KIT327770 JYX327717:JYX327770 JPB327717:JPB327770 JFF327717:JFF327770 IVJ327717:IVJ327770 ILN327717:ILN327770 IBR327717:IBR327770 HRV327717:HRV327770 HHZ327717:HHZ327770 GYD327717:GYD327770 GOH327717:GOH327770 GEL327717:GEL327770 FUP327717:FUP327770 FKT327717:FKT327770 FAX327717:FAX327770 ERB327717:ERB327770 EHF327717:EHF327770 DXJ327717:DXJ327770 DNN327717:DNN327770 DDR327717:DDR327770 CTV327717:CTV327770 CJZ327717:CJZ327770 CAD327717:CAD327770 BQH327717:BQH327770 BGL327717:BGL327770 AWP327717:AWP327770 AMT327717:AMT327770 ACX327717:ACX327770 TB327717:TB327770 JF327717:JF327770 J327717:J327770 WVR262181:WVR262234 WLV262181:WLV262234 WBZ262181:WBZ262234 VSD262181:VSD262234 VIH262181:VIH262234 UYL262181:UYL262234 UOP262181:UOP262234 UET262181:UET262234 TUX262181:TUX262234 TLB262181:TLB262234 TBF262181:TBF262234 SRJ262181:SRJ262234 SHN262181:SHN262234 RXR262181:RXR262234 RNV262181:RNV262234 RDZ262181:RDZ262234 QUD262181:QUD262234 QKH262181:QKH262234 QAL262181:QAL262234 PQP262181:PQP262234 PGT262181:PGT262234 OWX262181:OWX262234 ONB262181:ONB262234 ODF262181:ODF262234 NTJ262181:NTJ262234 NJN262181:NJN262234 MZR262181:MZR262234 MPV262181:MPV262234 MFZ262181:MFZ262234 LWD262181:LWD262234 LMH262181:LMH262234 LCL262181:LCL262234 KSP262181:KSP262234 KIT262181:KIT262234 JYX262181:JYX262234 JPB262181:JPB262234 JFF262181:JFF262234 IVJ262181:IVJ262234 ILN262181:ILN262234 IBR262181:IBR262234 HRV262181:HRV262234 HHZ262181:HHZ262234 GYD262181:GYD262234 GOH262181:GOH262234 GEL262181:GEL262234 FUP262181:FUP262234 FKT262181:FKT262234 FAX262181:FAX262234 ERB262181:ERB262234 EHF262181:EHF262234 DXJ262181:DXJ262234 DNN262181:DNN262234 DDR262181:DDR262234 CTV262181:CTV262234 CJZ262181:CJZ262234 CAD262181:CAD262234 BQH262181:BQH262234 BGL262181:BGL262234 AWP262181:AWP262234 AMT262181:AMT262234 ACX262181:ACX262234 TB262181:TB262234 JF262181:JF262234 J262181:J262234 WVR196645:WVR196698 WLV196645:WLV196698 WBZ196645:WBZ196698 VSD196645:VSD196698 VIH196645:VIH196698 UYL196645:UYL196698 UOP196645:UOP196698 UET196645:UET196698 TUX196645:TUX196698 TLB196645:TLB196698 TBF196645:TBF196698 SRJ196645:SRJ196698 SHN196645:SHN196698 RXR196645:RXR196698 RNV196645:RNV196698 RDZ196645:RDZ196698 QUD196645:QUD196698 QKH196645:QKH196698 QAL196645:QAL196698 PQP196645:PQP196698 PGT196645:PGT196698 OWX196645:OWX196698 ONB196645:ONB196698 ODF196645:ODF196698 NTJ196645:NTJ196698 NJN196645:NJN196698 MZR196645:MZR196698 MPV196645:MPV196698 MFZ196645:MFZ196698 LWD196645:LWD196698 LMH196645:LMH196698 LCL196645:LCL196698 KSP196645:KSP196698 KIT196645:KIT196698 JYX196645:JYX196698 JPB196645:JPB196698 JFF196645:JFF196698 IVJ196645:IVJ196698 ILN196645:ILN196698 IBR196645:IBR196698 HRV196645:HRV196698 HHZ196645:HHZ196698 GYD196645:GYD196698 GOH196645:GOH196698 GEL196645:GEL196698 FUP196645:FUP196698 FKT196645:FKT196698 FAX196645:FAX196698 ERB196645:ERB196698 EHF196645:EHF196698 DXJ196645:DXJ196698 DNN196645:DNN196698 DDR196645:DDR196698 CTV196645:CTV196698 CJZ196645:CJZ196698 CAD196645:CAD196698 BQH196645:BQH196698 BGL196645:BGL196698 AWP196645:AWP196698 AMT196645:AMT196698 ACX196645:ACX196698 TB196645:TB196698 JF196645:JF196698 J196645:J196698 WVR131109:WVR131162 WLV131109:WLV131162 WBZ131109:WBZ131162 VSD131109:VSD131162 VIH131109:VIH131162 UYL131109:UYL131162 UOP131109:UOP131162 UET131109:UET131162 TUX131109:TUX131162 TLB131109:TLB131162 TBF131109:TBF131162 SRJ131109:SRJ131162 SHN131109:SHN131162 RXR131109:RXR131162 RNV131109:RNV131162 RDZ131109:RDZ131162 QUD131109:QUD131162 QKH131109:QKH131162 QAL131109:QAL131162 PQP131109:PQP131162 PGT131109:PGT131162 OWX131109:OWX131162 ONB131109:ONB131162 ODF131109:ODF131162 NTJ131109:NTJ131162 NJN131109:NJN131162 MZR131109:MZR131162 MPV131109:MPV131162 MFZ131109:MFZ131162 LWD131109:LWD131162 LMH131109:LMH131162 LCL131109:LCL131162 KSP131109:KSP131162 KIT131109:KIT131162 JYX131109:JYX131162 JPB131109:JPB131162 JFF131109:JFF131162 IVJ131109:IVJ131162 ILN131109:ILN131162 IBR131109:IBR131162 HRV131109:HRV131162 HHZ131109:HHZ131162 GYD131109:GYD131162 GOH131109:GOH131162 GEL131109:GEL131162 FUP131109:FUP131162 FKT131109:FKT131162 FAX131109:FAX131162 ERB131109:ERB131162 EHF131109:EHF131162 DXJ131109:DXJ131162 DNN131109:DNN131162 DDR131109:DDR131162 CTV131109:CTV131162 CJZ131109:CJZ131162 CAD131109:CAD131162 BQH131109:BQH131162 BGL131109:BGL131162 AWP131109:AWP131162 AMT131109:AMT131162 ACX131109:ACX131162 TB131109:TB131162 JF131109:JF131162 J131109:J131162 WVR65573:WVR65626 WLV65573:WLV65626 WBZ65573:WBZ65626 VSD65573:VSD65626 VIH65573:VIH65626 UYL65573:UYL65626 UOP65573:UOP65626 UET65573:UET65626 TUX65573:TUX65626 TLB65573:TLB65626 TBF65573:TBF65626 SRJ65573:SRJ65626 SHN65573:SHN65626 RXR65573:RXR65626 RNV65573:RNV65626 RDZ65573:RDZ65626 QUD65573:QUD65626 QKH65573:QKH65626 QAL65573:QAL65626 PQP65573:PQP65626 PGT65573:PGT65626 OWX65573:OWX65626 ONB65573:ONB65626 ODF65573:ODF65626 NTJ65573:NTJ65626 NJN65573:NJN65626 MZR65573:MZR65626 MPV65573:MPV65626 MFZ65573:MFZ65626 LWD65573:LWD65626 LMH65573:LMH65626 LCL65573:LCL65626 KSP65573:KSP65626 KIT65573:KIT65626 JYX65573:JYX65626 JPB65573:JPB65626 JFF65573:JFF65626 IVJ65573:IVJ65626 ILN65573:ILN65626 IBR65573:IBR65626 HRV65573:HRV65626 HHZ65573:HHZ65626 GYD65573:GYD65626 GOH65573:GOH65626 GEL65573:GEL65626 FUP65573:FUP65626 FKT65573:FKT65626 FAX65573:FAX65626 ERB65573:ERB65626 EHF65573:EHF65626 DXJ65573:DXJ65626 DNN65573:DNN65626 DDR65573:DDR65626 CTV65573:CTV65626 CJZ65573:CJZ65626 CAD65573:CAD65626 BQH65573:BQH65626 BGL65573:BGL65626 AWP65573:AWP65626 AMT65573:AMT65626 ACX65573:ACX65626 TB65573:TB65626 JF65573:JF65626 J65573:J65626 WVR24:WVR78 WLV24:WLV78 WBZ24:WBZ78 VSD24:VSD78 VIH24:VIH78 UYL24:UYL78 UOP24:UOP78 UET24:UET78 TUX24:TUX78 TLB24:TLB78 TBF24:TBF78 SRJ24:SRJ78 SHN24:SHN78 RXR24:RXR78 RNV24:RNV78 RDZ24:RDZ78 QUD24:QUD78 QKH24:QKH78 QAL24:QAL78 PQP24:PQP78 PGT24:PGT78 OWX24:OWX78 ONB24:ONB78 ODF24:ODF78 NTJ24:NTJ78 NJN24:NJN78 MZR24:MZR78 MPV24:MPV78 MFZ24:MFZ78 LWD24:LWD78 LMH24:LMH78 LCL24:LCL78 KSP24:KSP78 KIT24:KIT78 JYX24:JYX78 JPB24:JPB78 JFF24:JFF78 IVJ24:IVJ78 ILN24:ILN78 IBR24:IBR78 HRV24:HRV78 HHZ24:HHZ78 GYD24:GYD78 GOH24:GOH78 GEL24:GEL78 FUP24:FUP78 FKT24:FKT78 FAX24:FAX78 ERB24:ERB78 EHF24:EHF78 DXJ24:DXJ78 DNN24:DNN78 DDR24:DDR78 CTV24:CTV78 CJZ24:CJZ78 CAD24:CAD78 BQH24:BQH78 BGL24:BGL78 AWP24:AWP78 AMT24:AMT78 ACX24:ACX78 TB24:TB78 JF24:JF78">
      <formula1>$A$195:$A$198</formula1>
    </dataValidation>
    <dataValidation type="list" allowBlank="1" showInputMessage="1" showErrorMessage="1" sqref="J83:J121 WVR983135:WVR983173 WLV983135:WLV983173 WBZ983135:WBZ983173 VSD983135:VSD983173 VIH983135:VIH983173 UYL983135:UYL983173 UOP983135:UOP983173 UET983135:UET983173 TUX983135:TUX983173 TLB983135:TLB983173 TBF983135:TBF983173 SRJ983135:SRJ983173 SHN983135:SHN983173 RXR983135:RXR983173 RNV983135:RNV983173 RDZ983135:RDZ983173 QUD983135:QUD983173 QKH983135:QKH983173 QAL983135:QAL983173 PQP983135:PQP983173 PGT983135:PGT983173 OWX983135:OWX983173 ONB983135:ONB983173 ODF983135:ODF983173 NTJ983135:NTJ983173 NJN983135:NJN983173 MZR983135:MZR983173 MPV983135:MPV983173 MFZ983135:MFZ983173 LWD983135:LWD983173 LMH983135:LMH983173 LCL983135:LCL983173 KSP983135:KSP983173 KIT983135:KIT983173 JYX983135:JYX983173 JPB983135:JPB983173 JFF983135:JFF983173 IVJ983135:IVJ983173 ILN983135:ILN983173 IBR983135:IBR983173 HRV983135:HRV983173 HHZ983135:HHZ983173 GYD983135:GYD983173 GOH983135:GOH983173 GEL983135:GEL983173 FUP983135:FUP983173 FKT983135:FKT983173 FAX983135:FAX983173 ERB983135:ERB983173 EHF983135:EHF983173 DXJ983135:DXJ983173 DNN983135:DNN983173 DDR983135:DDR983173 CTV983135:CTV983173 CJZ983135:CJZ983173 CAD983135:CAD983173 BQH983135:BQH983173 BGL983135:BGL983173 AWP983135:AWP983173 AMT983135:AMT983173 ACX983135:ACX983173 TB983135:TB983173 JF983135:JF983173 J983135:J983173 WVR917599:WVR917637 WLV917599:WLV917637 WBZ917599:WBZ917637 VSD917599:VSD917637 VIH917599:VIH917637 UYL917599:UYL917637 UOP917599:UOP917637 UET917599:UET917637 TUX917599:TUX917637 TLB917599:TLB917637 TBF917599:TBF917637 SRJ917599:SRJ917637 SHN917599:SHN917637 RXR917599:RXR917637 RNV917599:RNV917637 RDZ917599:RDZ917637 QUD917599:QUD917637 QKH917599:QKH917637 QAL917599:QAL917637 PQP917599:PQP917637 PGT917599:PGT917637 OWX917599:OWX917637 ONB917599:ONB917637 ODF917599:ODF917637 NTJ917599:NTJ917637 NJN917599:NJN917637 MZR917599:MZR917637 MPV917599:MPV917637 MFZ917599:MFZ917637 LWD917599:LWD917637 LMH917599:LMH917637 LCL917599:LCL917637 KSP917599:KSP917637 KIT917599:KIT917637 JYX917599:JYX917637 JPB917599:JPB917637 JFF917599:JFF917637 IVJ917599:IVJ917637 ILN917599:ILN917637 IBR917599:IBR917637 HRV917599:HRV917637 HHZ917599:HHZ917637 GYD917599:GYD917637 GOH917599:GOH917637 GEL917599:GEL917637 FUP917599:FUP917637 FKT917599:FKT917637 FAX917599:FAX917637 ERB917599:ERB917637 EHF917599:EHF917637 DXJ917599:DXJ917637 DNN917599:DNN917637 DDR917599:DDR917637 CTV917599:CTV917637 CJZ917599:CJZ917637 CAD917599:CAD917637 BQH917599:BQH917637 BGL917599:BGL917637 AWP917599:AWP917637 AMT917599:AMT917637 ACX917599:ACX917637 TB917599:TB917637 JF917599:JF917637 J917599:J917637 WVR852063:WVR852101 WLV852063:WLV852101 WBZ852063:WBZ852101 VSD852063:VSD852101 VIH852063:VIH852101 UYL852063:UYL852101 UOP852063:UOP852101 UET852063:UET852101 TUX852063:TUX852101 TLB852063:TLB852101 TBF852063:TBF852101 SRJ852063:SRJ852101 SHN852063:SHN852101 RXR852063:RXR852101 RNV852063:RNV852101 RDZ852063:RDZ852101 QUD852063:QUD852101 QKH852063:QKH852101 QAL852063:QAL852101 PQP852063:PQP852101 PGT852063:PGT852101 OWX852063:OWX852101 ONB852063:ONB852101 ODF852063:ODF852101 NTJ852063:NTJ852101 NJN852063:NJN852101 MZR852063:MZR852101 MPV852063:MPV852101 MFZ852063:MFZ852101 LWD852063:LWD852101 LMH852063:LMH852101 LCL852063:LCL852101 KSP852063:KSP852101 KIT852063:KIT852101 JYX852063:JYX852101 JPB852063:JPB852101 JFF852063:JFF852101 IVJ852063:IVJ852101 ILN852063:ILN852101 IBR852063:IBR852101 HRV852063:HRV852101 HHZ852063:HHZ852101 GYD852063:GYD852101 GOH852063:GOH852101 GEL852063:GEL852101 FUP852063:FUP852101 FKT852063:FKT852101 FAX852063:FAX852101 ERB852063:ERB852101 EHF852063:EHF852101 DXJ852063:DXJ852101 DNN852063:DNN852101 DDR852063:DDR852101 CTV852063:CTV852101 CJZ852063:CJZ852101 CAD852063:CAD852101 BQH852063:BQH852101 BGL852063:BGL852101 AWP852063:AWP852101 AMT852063:AMT852101 ACX852063:ACX852101 TB852063:TB852101 JF852063:JF852101 J852063:J852101 WVR786527:WVR786565 WLV786527:WLV786565 WBZ786527:WBZ786565 VSD786527:VSD786565 VIH786527:VIH786565 UYL786527:UYL786565 UOP786527:UOP786565 UET786527:UET786565 TUX786527:TUX786565 TLB786527:TLB786565 TBF786527:TBF786565 SRJ786527:SRJ786565 SHN786527:SHN786565 RXR786527:RXR786565 RNV786527:RNV786565 RDZ786527:RDZ786565 QUD786527:QUD786565 QKH786527:QKH786565 QAL786527:QAL786565 PQP786527:PQP786565 PGT786527:PGT786565 OWX786527:OWX786565 ONB786527:ONB786565 ODF786527:ODF786565 NTJ786527:NTJ786565 NJN786527:NJN786565 MZR786527:MZR786565 MPV786527:MPV786565 MFZ786527:MFZ786565 LWD786527:LWD786565 LMH786527:LMH786565 LCL786527:LCL786565 KSP786527:KSP786565 KIT786527:KIT786565 JYX786527:JYX786565 JPB786527:JPB786565 JFF786527:JFF786565 IVJ786527:IVJ786565 ILN786527:ILN786565 IBR786527:IBR786565 HRV786527:HRV786565 HHZ786527:HHZ786565 GYD786527:GYD786565 GOH786527:GOH786565 GEL786527:GEL786565 FUP786527:FUP786565 FKT786527:FKT786565 FAX786527:FAX786565 ERB786527:ERB786565 EHF786527:EHF786565 DXJ786527:DXJ786565 DNN786527:DNN786565 DDR786527:DDR786565 CTV786527:CTV786565 CJZ786527:CJZ786565 CAD786527:CAD786565 BQH786527:BQH786565 BGL786527:BGL786565 AWP786527:AWP786565 AMT786527:AMT786565 ACX786527:ACX786565 TB786527:TB786565 JF786527:JF786565 J786527:J786565 WVR720991:WVR721029 WLV720991:WLV721029 WBZ720991:WBZ721029 VSD720991:VSD721029 VIH720991:VIH721029 UYL720991:UYL721029 UOP720991:UOP721029 UET720991:UET721029 TUX720991:TUX721029 TLB720991:TLB721029 TBF720991:TBF721029 SRJ720991:SRJ721029 SHN720991:SHN721029 RXR720991:RXR721029 RNV720991:RNV721029 RDZ720991:RDZ721029 QUD720991:QUD721029 QKH720991:QKH721029 QAL720991:QAL721029 PQP720991:PQP721029 PGT720991:PGT721029 OWX720991:OWX721029 ONB720991:ONB721029 ODF720991:ODF721029 NTJ720991:NTJ721029 NJN720991:NJN721029 MZR720991:MZR721029 MPV720991:MPV721029 MFZ720991:MFZ721029 LWD720991:LWD721029 LMH720991:LMH721029 LCL720991:LCL721029 KSP720991:KSP721029 KIT720991:KIT721029 JYX720991:JYX721029 JPB720991:JPB721029 JFF720991:JFF721029 IVJ720991:IVJ721029 ILN720991:ILN721029 IBR720991:IBR721029 HRV720991:HRV721029 HHZ720991:HHZ721029 GYD720991:GYD721029 GOH720991:GOH721029 GEL720991:GEL721029 FUP720991:FUP721029 FKT720991:FKT721029 FAX720991:FAX721029 ERB720991:ERB721029 EHF720991:EHF721029 DXJ720991:DXJ721029 DNN720991:DNN721029 DDR720991:DDR721029 CTV720991:CTV721029 CJZ720991:CJZ721029 CAD720991:CAD721029 BQH720991:BQH721029 BGL720991:BGL721029 AWP720991:AWP721029 AMT720991:AMT721029 ACX720991:ACX721029 TB720991:TB721029 JF720991:JF721029 J720991:J721029 WVR655455:WVR655493 WLV655455:WLV655493 WBZ655455:WBZ655493 VSD655455:VSD655493 VIH655455:VIH655493 UYL655455:UYL655493 UOP655455:UOP655493 UET655455:UET655493 TUX655455:TUX655493 TLB655455:TLB655493 TBF655455:TBF655493 SRJ655455:SRJ655493 SHN655455:SHN655493 RXR655455:RXR655493 RNV655455:RNV655493 RDZ655455:RDZ655493 QUD655455:QUD655493 QKH655455:QKH655493 QAL655455:QAL655493 PQP655455:PQP655493 PGT655455:PGT655493 OWX655455:OWX655493 ONB655455:ONB655493 ODF655455:ODF655493 NTJ655455:NTJ655493 NJN655455:NJN655493 MZR655455:MZR655493 MPV655455:MPV655493 MFZ655455:MFZ655493 LWD655455:LWD655493 LMH655455:LMH655493 LCL655455:LCL655493 KSP655455:KSP655493 KIT655455:KIT655493 JYX655455:JYX655493 JPB655455:JPB655493 JFF655455:JFF655493 IVJ655455:IVJ655493 ILN655455:ILN655493 IBR655455:IBR655493 HRV655455:HRV655493 HHZ655455:HHZ655493 GYD655455:GYD655493 GOH655455:GOH655493 GEL655455:GEL655493 FUP655455:FUP655493 FKT655455:FKT655493 FAX655455:FAX655493 ERB655455:ERB655493 EHF655455:EHF655493 DXJ655455:DXJ655493 DNN655455:DNN655493 DDR655455:DDR655493 CTV655455:CTV655493 CJZ655455:CJZ655493 CAD655455:CAD655493 BQH655455:BQH655493 BGL655455:BGL655493 AWP655455:AWP655493 AMT655455:AMT655493 ACX655455:ACX655493 TB655455:TB655493 JF655455:JF655493 J655455:J655493 WVR589919:WVR589957 WLV589919:WLV589957 WBZ589919:WBZ589957 VSD589919:VSD589957 VIH589919:VIH589957 UYL589919:UYL589957 UOP589919:UOP589957 UET589919:UET589957 TUX589919:TUX589957 TLB589919:TLB589957 TBF589919:TBF589957 SRJ589919:SRJ589957 SHN589919:SHN589957 RXR589919:RXR589957 RNV589919:RNV589957 RDZ589919:RDZ589957 QUD589919:QUD589957 QKH589919:QKH589957 QAL589919:QAL589957 PQP589919:PQP589957 PGT589919:PGT589957 OWX589919:OWX589957 ONB589919:ONB589957 ODF589919:ODF589957 NTJ589919:NTJ589957 NJN589919:NJN589957 MZR589919:MZR589957 MPV589919:MPV589957 MFZ589919:MFZ589957 LWD589919:LWD589957 LMH589919:LMH589957 LCL589919:LCL589957 KSP589919:KSP589957 KIT589919:KIT589957 JYX589919:JYX589957 JPB589919:JPB589957 JFF589919:JFF589957 IVJ589919:IVJ589957 ILN589919:ILN589957 IBR589919:IBR589957 HRV589919:HRV589957 HHZ589919:HHZ589957 GYD589919:GYD589957 GOH589919:GOH589957 GEL589919:GEL589957 FUP589919:FUP589957 FKT589919:FKT589957 FAX589919:FAX589957 ERB589919:ERB589957 EHF589919:EHF589957 DXJ589919:DXJ589957 DNN589919:DNN589957 DDR589919:DDR589957 CTV589919:CTV589957 CJZ589919:CJZ589957 CAD589919:CAD589957 BQH589919:BQH589957 BGL589919:BGL589957 AWP589919:AWP589957 AMT589919:AMT589957 ACX589919:ACX589957 TB589919:TB589957 JF589919:JF589957 J589919:J589957 WVR524383:WVR524421 WLV524383:WLV524421 WBZ524383:WBZ524421 VSD524383:VSD524421 VIH524383:VIH524421 UYL524383:UYL524421 UOP524383:UOP524421 UET524383:UET524421 TUX524383:TUX524421 TLB524383:TLB524421 TBF524383:TBF524421 SRJ524383:SRJ524421 SHN524383:SHN524421 RXR524383:RXR524421 RNV524383:RNV524421 RDZ524383:RDZ524421 QUD524383:QUD524421 QKH524383:QKH524421 QAL524383:QAL524421 PQP524383:PQP524421 PGT524383:PGT524421 OWX524383:OWX524421 ONB524383:ONB524421 ODF524383:ODF524421 NTJ524383:NTJ524421 NJN524383:NJN524421 MZR524383:MZR524421 MPV524383:MPV524421 MFZ524383:MFZ524421 LWD524383:LWD524421 LMH524383:LMH524421 LCL524383:LCL524421 KSP524383:KSP524421 KIT524383:KIT524421 JYX524383:JYX524421 JPB524383:JPB524421 JFF524383:JFF524421 IVJ524383:IVJ524421 ILN524383:ILN524421 IBR524383:IBR524421 HRV524383:HRV524421 HHZ524383:HHZ524421 GYD524383:GYD524421 GOH524383:GOH524421 GEL524383:GEL524421 FUP524383:FUP524421 FKT524383:FKT524421 FAX524383:FAX524421 ERB524383:ERB524421 EHF524383:EHF524421 DXJ524383:DXJ524421 DNN524383:DNN524421 DDR524383:DDR524421 CTV524383:CTV524421 CJZ524383:CJZ524421 CAD524383:CAD524421 BQH524383:BQH524421 BGL524383:BGL524421 AWP524383:AWP524421 AMT524383:AMT524421 ACX524383:ACX524421 TB524383:TB524421 JF524383:JF524421 J524383:J524421 WVR458847:WVR458885 WLV458847:WLV458885 WBZ458847:WBZ458885 VSD458847:VSD458885 VIH458847:VIH458885 UYL458847:UYL458885 UOP458847:UOP458885 UET458847:UET458885 TUX458847:TUX458885 TLB458847:TLB458885 TBF458847:TBF458885 SRJ458847:SRJ458885 SHN458847:SHN458885 RXR458847:RXR458885 RNV458847:RNV458885 RDZ458847:RDZ458885 QUD458847:QUD458885 QKH458847:QKH458885 QAL458847:QAL458885 PQP458847:PQP458885 PGT458847:PGT458885 OWX458847:OWX458885 ONB458847:ONB458885 ODF458847:ODF458885 NTJ458847:NTJ458885 NJN458847:NJN458885 MZR458847:MZR458885 MPV458847:MPV458885 MFZ458847:MFZ458885 LWD458847:LWD458885 LMH458847:LMH458885 LCL458847:LCL458885 KSP458847:KSP458885 KIT458847:KIT458885 JYX458847:JYX458885 JPB458847:JPB458885 JFF458847:JFF458885 IVJ458847:IVJ458885 ILN458847:ILN458885 IBR458847:IBR458885 HRV458847:HRV458885 HHZ458847:HHZ458885 GYD458847:GYD458885 GOH458847:GOH458885 GEL458847:GEL458885 FUP458847:FUP458885 FKT458847:FKT458885 FAX458847:FAX458885 ERB458847:ERB458885 EHF458847:EHF458885 DXJ458847:DXJ458885 DNN458847:DNN458885 DDR458847:DDR458885 CTV458847:CTV458885 CJZ458847:CJZ458885 CAD458847:CAD458885 BQH458847:BQH458885 BGL458847:BGL458885 AWP458847:AWP458885 AMT458847:AMT458885 ACX458847:ACX458885 TB458847:TB458885 JF458847:JF458885 J458847:J458885 WVR393311:WVR393349 WLV393311:WLV393349 WBZ393311:WBZ393349 VSD393311:VSD393349 VIH393311:VIH393349 UYL393311:UYL393349 UOP393311:UOP393349 UET393311:UET393349 TUX393311:TUX393349 TLB393311:TLB393349 TBF393311:TBF393349 SRJ393311:SRJ393349 SHN393311:SHN393349 RXR393311:RXR393349 RNV393311:RNV393349 RDZ393311:RDZ393349 QUD393311:QUD393349 QKH393311:QKH393349 QAL393311:QAL393349 PQP393311:PQP393349 PGT393311:PGT393349 OWX393311:OWX393349 ONB393311:ONB393349 ODF393311:ODF393349 NTJ393311:NTJ393349 NJN393311:NJN393349 MZR393311:MZR393349 MPV393311:MPV393349 MFZ393311:MFZ393349 LWD393311:LWD393349 LMH393311:LMH393349 LCL393311:LCL393349 KSP393311:KSP393349 KIT393311:KIT393349 JYX393311:JYX393349 JPB393311:JPB393349 JFF393311:JFF393349 IVJ393311:IVJ393349 ILN393311:ILN393349 IBR393311:IBR393349 HRV393311:HRV393349 HHZ393311:HHZ393349 GYD393311:GYD393349 GOH393311:GOH393349 GEL393311:GEL393349 FUP393311:FUP393349 FKT393311:FKT393349 FAX393311:FAX393349 ERB393311:ERB393349 EHF393311:EHF393349 DXJ393311:DXJ393349 DNN393311:DNN393349 DDR393311:DDR393349 CTV393311:CTV393349 CJZ393311:CJZ393349 CAD393311:CAD393349 BQH393311:BQH393349 BGL393311:BGL393349 AWP393311:AWP393349 AMT393311:AMT393349 ACX393311:ACX393349 TB393311:TB393349 JF393311:JF393349 J393311:J393349 WVR327775:WVR327813 WLV327775:WLV327813 WBZ327775:WBZ327813 VSD327775:VSD327813 VIH327775:VIH327813 UYL327775:UYL327813 UOP327775:UOP327813 UET327775:UET327813 TUX327775:TUX327813 TLB327775:TLB327813 TBF327775:TBF327813 SRJ327775:SRJ327813 SHN327775:SHN327813 RXR327775:RXR327813 RNV327775:RNV327813 RDZ327775:RDZ327813 QUD327775:QUD327813 QKH327775:QKH327813 QAL327775:QAL327813 PQP327775:PQP327813 PGT327775:PGT327813 OWX327775:OWX327813 ONB327775:ONB327813 ODF327775:ODF327813 NTJ327775:NTJ327813 NJN327775:NJN327813 MZR327775:MZR327813 MPV327775:MPV327813 MFZ327775:MFZ327813 LWD327775:LWD327813 LMH327775:LMH327813 LCL327775:LCL327813 KSP327775:KSP327813 KIT327775:KIT327813 JYX327775:JYX327813 JPB327775:JPB327813 JFF327775:JFF327813 IVJ327775:IVJ327813 ILN327775:ILN327813 IBR327775:IBR327813 HRV327775:HRV327813 HHZ327775:HHZ327813 GYD327775:GYD327813 GOH327775:GOH327813 GEL327775:GEL327813 FUP327775:FUP327813 FKT327775:FKT327813 FAX327775:FAX327813 ERB327775:ERB327813 EHF327775:EHF327813 DXJ327775:DXJ327813 DNN327775:DNN327813 DDR327775:DDR327813 CTV327775:CTV327813 CJZ327775:CJZ327813 CAD327775:CAD327813 BQH327775:BQH327813 BGL327775:BGL327813 AWP327775:AWP327813 AMT327775:AMT327813 ACX327775:ACX327813 TB327775:TB327813 JF327775:JF327813 J327775:J327813 WVR262239:WVR262277 WLV262239:WLV262277 WBZ262239:WBZ262277 VSD262239:VSD262277 VIH262239:VIH262277 UYL262239:UYL262277 UOP262239:UOP262277 UET262239:UET262277 TUX262239:TUX262277 TLB262239:TLB262277 TBF262239:TBF262277 SRJ262239:SRJ262277 SHN262239:SHN262277 RXR262239:RXR262277 RNV262239:RNV262277 RDZ262239:RDZ262277 QUD262239:QUD262277 QKH262239:QKH262277 QAL262239:QAL262277 PQP262239:PQP262277 PGT262239:PGT262277 OWX262239:OWX262277 ONB262239:ONB262277 ODF262239:ODF262277 NTJ262239:NTJ262277 NJN262239:NJN262277 MZR262239:MZR262277 MPV262239:MPV262277 MFZ262239:MFZ262277 LWD262239:LWD262277 LMH262239:LMH262277 LCL262239:LCL262277 KSP262239:KSP262277 KIT262239:KIT262277 JYX262239:JYX262277 JPB262239:JPB262277 JFF262239:JFF262277 IVJ262239:IVJ262277 ILN262239:ILN262277 IBR262239:IBR262277 HRV262239:HRV262277 HHZ262239:HHZ262277 GYD262239:GYD262277 GOH262239:GOH262277 GEL262239:GEL262277 FUP262239:FUP262277 FKT262239:FKT262277 FAX262239:FAX262277 ERB262239:ERB262277 EHF262239:EHF262277 DXJ262239:DXJ262277 DNN262239:DNN262277 DDR262239:DDR262277 CTV262239:CTV262277 CJZ262239:CJZ262277 CAD262239:CAD262277 BQH262239:BQH262277 BGL262239:BGL262277 AWP262239:AWP262277 AMT262239:AMT262277 ACX262239:ACX262277 TB262239:TB262277 JF262239:JF262277 J262239:J262277 WVR196703:WVR196741 WLV196703:WLV196741 WBZ196703:WBZ196741 VSD196703:VSD196741 VIH196703:VIH196741 UYL196703:UYL196741 UOP196703:UOP196741 UET196703:UET196741 TUX196703:TUX196741 TLB196703:TLB196741 TBF196703:TBF196741 SRJ196703:SRJ196741 SHN196703:SHN196741 RXR196703:RXR196741 RNV196703:RNV196741 RDZ196703:RDZ196741 QUD196703:QUD196741 QKH196703:QKH196741 QAL196703:QAL196741 PQP196703:PQP196741 PGT196703:PGT196741 OWX196703:OWX196741 ONB196703:ONB196741 ODF196703:ODF196741 NTJ196703:NTJ196741 NJN196703:NJN196741 MZR196703:MZR196741 MPV196703:MPV196741 MFZ196703:MFZ196741 LWD196703:LWD196741 LMH196703:LMH196741 LCL196703:LCL196741 KSP196703:KSP196741 KIT196703:KIT196741 JYX196703:JYX196741 JPB196703:JPB196741 JFF196703:JFF196741 IVJ196703:IVJ196741 ILN196703:ILN196741 IBR196703:IBR196741 HRV196703:HRV196741 HHZ196703:HHZ196741 GYD196703:GYD196741 GOH196703:GOH196741 GEL196703:GEL196741 FUP196703:FUP196741 FKT196703:FKT196741 FAX196703:FAX196741 ERB196703:ERB196741 EHF196703:EHF196741 DXJ196703:DXJ196741 DNN196703:DNN196741 DDR196703:DDR196741 CTV196703:CTV196741 CJZ196703:CJZ196741 CAD196703:CAD196741 BQH196703:BQH196741 BGL196703:BGL196741 AWP196703:AWP196741 AMT196703:AMT196741 ACX196703:ACX196741 TB196703:TB196741 JF196703:JF196741 J196703:J196741 WVR131167:WVR131205 WLV131167:WLV131205 WBZ131167:WBZ131205 VSD131167:VSD131205 VIH131167:VIH131205 UYL131167:UYL131205 UOP131167:UOP131205 UET131167:UET131205 TUX131167:TUX131205 TLB131167:TLB131205 TBF131167:TBF131205 SRJ131167:SRJ131205 SHN131167:SHN131205 RXR131167:RXR131205 RNV131167:RNV131205 RDZ131167:RDZ131205 QUD131167:QUD131205 QKH131167:QKH131205 QAL131167:QAL131205 PQP131167:PQP131205 PGT131167:PGT131205 OWX131167:OWX131205 ONB131167:ONB131205 ODF131167:ODF131205 NTJ131167:NTJ131205 NJN131167:NJN131205 MZR131167:MZR131205 MPV131167:MPV131205 MFZ131167:MFZ131205 LWD131167:LWD131205 LMH131167:LMH131205 LCL131167:LCL131205 KSP131167:KSP131205 KIT131167:KIT131205 JYX131167:JYX131205 JPB131167:JPB131205 JFF131167:JFF131205 IVJ131167:IVJ131205 ILN131167:ILN131205 IBR131167:IBR131205 HRV131167:HRV131205 HHZ131167:HHZ131205 GYD131167:GYD131205 GOH131167:GOH131205 GEL131167:GEL131205 FUP131167:FUP131205 FKT131167:FKT131205 FAX131167:FAX131205 ERB131167:ERB131205 EHF131167:EHF131205 DXJ131167:DXJ131205 DNN131167:DNN131205 DDR131167:DDR131205 CTV131167:CTV131205 CJZ131167:CJZ131205 CAD131167:CAD131205 BQH131167:BQH131205 BGL131167:BGL131205 AWP131167:AWP131205 AMT131167:AMT131205 ACX131167:ACX131205 TB131167:TB131205 JF131167:JF131205 J131167:J131205 WVR65631:WVR65669 WLV65631:WLV65669 WBZ65631:WBZ65669 VSD65631:VSD65669 VIH65631:VIH65669 UYL65631:UYL65669 UOP65631:UOP65669 UET65631:UET65669 TUX65631:TUX65669 TLB65631:TLB65669 TBF65631:TBF65669 SRJ65631:SRJ65669 SHN65631:SHN65669 RXR65631:RXR65669 RNV65631:RNV65669 RDZ65631:RDZ65669 QUD65631:QUD65669 QKH65631:QKH65669 QAL65631:QAL65669 PQP65631:PQP65669 PGT65631:PGT65669 OWX65631:OWX65669 ONB65631:ONB65669 ODF65631:ODF65669 NTJ65631:NTJ65669 NJN65631:NJN65669 MZR65631:MZR65669 MPV65631:MPV65669 MFZ65631:MFZ65669 LWD65631:LWD65669 LMH65631:LMH65669 LCL65631:LCL65669 KSP65631:KSP65669 KIT65631:KIT65669 JYX65631:JYX65669 JPB65631:JPB65669 JFF65631:JFF65669 IVJ65631:IVJ65669 ILN65631:ILN65669 IBR65631:IBR65669 HRV65631:HRV65669 HHZ65631:HHZ65669 GYD65631:GYD65669 GOH65631:GOH65669 GEL65631:GEL65669 FUP65631:FUP65669 FKT65631:FKT65669 FAX65631:FAX65669 ERB65631:ERB65669 EHF65631:EHF65669 DXJ65631:DXJ65669 DNN65631:DNN65669 DDR65631:DDR65669 CTV65631:CTV65669 CJZ65631:CJZ65669 CAD65631:CAD65669 BQH65631:BQH65669 BGL65631:BGL65669 AWP65631:AWP65669 AMT65631:AMT65669 ACX65631:ACX65669 TB65631:TB65669 JF65631:JF65669 J65631:J65669 WVR83:WVR121 WLV83:WLV121 WBZ83:WBZ121 VSD83:VSD121 VIH83:VIH121 UYL83:UYL121 UOP83:UOP121 UET83:UET121 TUX83:TUX121 TLB83:TLB121 TBF83:TBF121 SRJ83:SRJ121 SHN83:SHN121 RXR83:RXR121 RNV83:RNV121 RDZ83:RDZ121 QUD83:QUD121 QKH83:QKH121 QAL83:QAL121 PQP83:PQP121 PGT83:PGT121 OWX83:OWX121 ONB83:ONB121 ODF83:ODF121 NTJ83:NTJ121 NJN83:NJN121 MZR83:MZR121 MPV83:MPV121 MFZ83:MFZ121 LWD83:LWD121 LMH83:LMH121 LCL83:LCL121 KSP83:KSP121 KIT83:KIT121 JYX83:JYX121 JPB83:JPB121 JFF83:JFF121 IVJ83:IVJ121 ILN83:ILN121 IBR83:IBR121 HRV83:HRV121 HHZ83:HHZ121 GYD83:GYD121 GOH83:GOH121 GEL83:GEL121 FUP83:FUP121 FKT83:FKT121 FAX83:FAX121 ERB83:ERB121 EHF83:EHF121 DXJ83:DXJ121 DNN83:DNN121 DDR83:DDR121 CTV83:CTV121 CJZ83:CJZ121 CAD83:CAD121 BQH83:BQH121 BGL83:BGL121 AWP83:AWP121 AMT83:AMT121 ACX83:ACX121 TB83:TB121 JF83:JF121">
      <formula1>$A$194:$A$198</formula1>
    </dataValidation>
    <dataValidation type="list" allowBlank="1" showInputMessage="1" showErrorMessage="1" sqref="K24:K78 WVS983135:WVS983173 WLW983135:WLW983173 WCA983135:WCA983173 VSE983135:VSE983173 VII983135:VII983173 UYM983135:UYM983173 UOQ983135:UOQ983173 UEU983135:UEU983173 TUY983135:TUY983173 TLC983135:TLC983173 TBG983135:TBG983173 SRK983135:SRK983173 SHO983135:SHO983173 RXS983135:RXS983173 RNW983135:RNW983173 REA983135:REA983173 QUE983135:QUE983173 QKI983135:QKI983173 QAM983135:QAM983173 PQQ983135:PQQ983173 PGU983135:PGU983173 OWY983135:OWY983173 ONC983135:ONC983173 ODG983135:ODG983173 NTK983135:NTK983173 NJO983135:NJO983173 MZS983135:MZS983173 MPW983135:MPW983173 MGA983135:MGA983173 LWE983135:LWE983173 LMI983135:LMI983173 LCM983135:LCM983173 KSQ983135:KSQ983173 KIU983135:KIU983173 JYY983135:JYY983173 JPC983135:JPC983173 JFG983135:JFG983173 IVK983135:IVK983173 ILO983135:ILO983173 IBS983135:IBS983173 HRW983135:HRW983173 HIA983135:HIA983173 GYE983135:GYE983173 GOI983135:GOI983173 GEM983135:GEM983173 FUQ983135:FUQ983173 FKU983135:FKU983173 FAY983135:FAY983173 ERC983135:ERC983173 EHG983135:EHG983173 DXK983135:DXK983173 DNO983135:DNO983173 DDS983135:DDS983173 CTW983135:CTW983173 CKA983135:CKA983173 CAE983135:CAE983173 BQI983135:BQI983173 BGM983135:BGM983173 AWQ983135:AWQ983173 AMU983135:AMU983173 ACY983135:ACY983173 TC983135:TC983173 JG983135:JG983173 K983135:K983173 WVS917599:WVS917637 WLW917599:WLW917637 WCA917599:WCA917637 VSE917599:VSE917637 VII917599:VII917637 UYM917599:UYM917637 UOQ917599:UOQ917637 UEU917599:UEU917637 TUY917599:TUY917637 TLC917599:TLC917637 TBG917599:TBG917637 SRK917599:SRK917637 SHO917599:SHO917637 RXS917599:RXS917637 RNW917599:RNW917637 REA917599:REA917637 QUE917599:QUE917637 QKI917599:QKI917637 QAM917599:QAM917637 PQQ917599:PQQ917637 PGU917599:PGU917637 OWY917599:OWY917637 ONC917599:ONC917637 ODG917599:ODG917637 NTK917599:NTK917637 NJO917599:NJO917637 MZS917599:MZS917637 MPW917599:MPW917637 MGA917599:MGA917637 LWE917599:LWE917637 LMI917599:LMI917637 LCM917599:LCM917637 KSQ917599:KSQ917637 KIU917599:KIU917637 JYY917599:JYY917637 JPC917599:JPC917637 JFG917599:JFG917637 IVK917599:IVK917637 ILO917599:ILO917637 IBS917599:IBS917637 HRW917599:HRW917637 HIA917599:HIA917637 GYE917599:GYE917637 GOI917599:GOI917637 GEM917599:GEM917637 FUQ917599:FUQ917637 FKU917599:FKU917637 FAY917599:FAY917637 ERC917599:ERC917637 EHG917599:EHG917637 DXK917599:DXK917637 DNO917599:DNO917637 DDS917599:DDS917637 CTW917599:CTW917637 CKA917599:CKA917637 CAE917599:CAE917637 BQI917599:BQI917637 BGM917599:BGM917637 AWQ917599:AWQ917637 AMU917599:AMU917637 ACY917599:ACY917637 TC917599:TC917637 JG917599:JG917637 K917599:K917637 WVS852063:WVS852101 WLW852063:WLW852101 WCA852063:WCA852101 VSE852063:VSE852101 VII852063:VII852101 UYM852063:UYM852101 UOQ852063:UOQ852101 UEU852063:UEU852101 TUY852063:TUY852101 TLC852063:TLC852101 TBG852063:TBG852101 SRK852063:SRK852101 SHO852063:SHO852101 RXS852063:RXS852101 RNW852063:RNW852101 REA852063:REA852101 QUE852063:QUE852101 QKI852063:QKI852101 QAM852063:QAM852101 PQQ852063:PQQ852101 PGU852063:PGU852101 OWY852063:OWY852101 ONC852063:ONC852101 ODG852063:ODG852101 NTK852063:NTK852101 NJO852063:NJO852101 MZS852063:MZS852101 MPW852063:MPW852101 MGA852063:MGA852101 LWE852063:LWE852101 LMI852063:LMI852101 LCM852063:LCM852101 KSQ852063:KSQ852101 KIU852063:KIU852101 JYY852063:JYY852101 JPC852063:JPC852101 JFG852063:JFG852101 IVK852063:IVK852101 ILO852063:ILO852101 IBS852063:IBS852101 HRW852063:HRW852101 HIA852063:HIA852101 GYE852063:GYE852101 GOI852063:GOI852101 GEM852063:GEM852101 FUQ852063:FUQ852101 FKU852063:FKU852101 FAY852063:FAY852101 ERC852063:ERC852101 EHG852063:EHG852101 DXK852063:DXK852101 DNO852063:DNO852101 DDS852063:DDS852101 CTW852063:CTW852101 CKA852063:CKA852101 CAE852063:CAE852101 BQI852063:BQI852101 BGM852063:BGM852101 AWQ852063:AWQ852101 AMU852063:AMU852101 ACY852063:ACY852101 TC852063:TC852101 JG852063:JG852101 K852063:K852101 WVS786527:WVS786565 WLW786527:WLW786565 WCA786527:WCA786565 VSE786527:VSE786565 VII786527:VII786565 UYM786527:UYM786565 UOQ786527:UOQ786565 UEU786527:UEU786565 TUY786527:TUY786565 TLC786527:TLC786565 TBG786527:TBG786565 SRK786527:SRK786565 SHO786527:SHO786565 RXS786527:RXS786565 RNW786527:RNW786565 REA786527:REA786565 QUE786527:QUE786565 QKI786527:QKI786565 QAM786527:QAM786565 PQQ786527:PQQ786565 PGU786527:PGU786565 OWY786527:OWY786565 ONC786527:ONC786565 ODG786527:ODG786565 NTK786527:NTK786565 NJO786527:NJO786565 MZS786527:MZS786565 MPW786527:MPW786565 MGA786527:MGA786565 LWE786527:LWE786565 LMI786527:LMI786565 LCM786527:LCM786565 KSQ786527:KSQ786565 KIU786527:KIU786565 JYY786527:JYY786565 JPC786527:JPC786565 JFG786527:JFG786565 IVK786527:IVK786565 ILO786527:ILO786565 IBS786527:IBS786565 HRW786527:HRW786565 HIA786527:HIA786565 GYE786527:GYE786565 GOI786527:GOI786565 GEM786527:GEM786565 FUQ786527:FUQ786565 FKU786527:FKU786565 FAY786527:FAY786565 ERC786527:ERC786565 EHG786527:EHG786565 DXK786527:DXK786565 DNO786527:DNO786565 DDS786527:DDS786565 CTW786527:CTW786565 CKA786527:CKA786565 CAE786527:CAE786565 BQI786527:BQI786565 BGM786527:BGM786565 AWQ786527:AWQ786565 AMU786527:AMU786565 ACY786527:ACY786565 TC786527:TC786565 JG786527:JG786565 K786527:K786565 WVS720991:WVS721029 WLW720991:WLW721029 WCA720991:WCA721029 VSE720991:VSE721029 VII720991:VII721029 UYM720991:UYM721029 UOQ720991:UOQ721029 UEU720991:UEU721029 TUY720991:TUY721029 TLC720991:TLC721029 TBG720991:TBG721029 SRK720991:SRK721029 SHO720991:SHO721029 RXS720991:RXS721029 RNW720991:RNW721029 REA720991:REA721029 QUE720991:QUE721029 QKI720991:QKI721029 QAM720991:QAM721029 PQQ720991:PQQ721029 PGU720991:PGU721029 OWY720991:OWY721029 ONC720991:ONC721029 ODG720991:ODG721029 NTK720991:NTK721029 NJO720991:NJO721029 MZS720991:MZS721029 MPW720991:MPW721029 MGA720991:MGA721029 LWE720991:LWE721029 LMI720991:LMI721029 LCM720991:LCM721029 KSQ720991:KSQ721029 KIU720991:KIU721029 JYY720991:JYY721029 JPC720991:JPC721029 JFG720991:JFG721029 IVK720991:IVK721029 ILO720991:ILO721029 IBS720991:IBS721029 HRW720991:HRW721029 HIA720991:HIA721029 GYE720991:GYE721029 GOI720991:GOI721029 GEM720991:GEM721029 FUQ720991:FUQ721029 FKU720991:FKU721029 FAY720991:FAY721029 ERC720991:ERC721029 EHG720991:EHG721029 DXK720991:DXK721029 DNO720991:DNO721029 DDS720991:DDS721029 CTW720991:CTW721029 CKA720991:CKA721029 CAE720991:CAE721029 BQI720991:BQI721029 BGM720991:BGM721029 AWQ720991:AWQ721029 AMU720991:AMU721029 ACY720991:ACY721029 TC720991:TC721029 JG720991:JG721029 K720991:K721029 WVS655455:WVS655493 WLW655455:WLW655493 WCA655455:WCA655493 VSE655455:VSE655493 VII655455:VII655493 UYM655455:UYM655493 UOQ655455:UOQ655493 UEU655455:UEU655493 TUY655455:TUY655493 TLC655455:TLC655493 TBG655455:TBG655493 SRK655455:SRK655493 SHO655455:SHO655493 RXS655455:RXS655493 RNW655455:RNW655493 REA655455:REA655493 QUE655455:QUE655493 QKI655455:QKI655493 QAM655455:QAM655493 PQQ655455:PQQ655493 PGU655455:PGU655493 OWY655455:OWY655493 ONC655455:ONC655493 ODG655455:ODG655493 NTK655455:NTK655493 NJO655455:NJO655493 MZS655455:MZS655493 MPW655455:MPW655493 MGA655455:MGA655493 LWE655455:LWE655493 LMI655455:LMI655493 LCM655455:LCM655493 KSQ655455:KSQ655493 KIU655455:KIU655493 JYY655455:JYY655493 JPC655455:JPC655493 JFG655455:JFG655493 IVK655455:IVK655493 ILO655455:ILO655493 IBS655455:IBS655493 HRW655455:HRW655493 HIA655455:HIA655493 GYE655455:GYE655493 GOI655455:GOI655493 GEM655455:GEM655493 FUQ655455:FUQ655493 FKU655455:FKU655493 FAY655455:FAY655493 ERC655455:ERC655493 EHG655455:EHG655493 DXK655455:DXK655493 DNO655455:DNO655493 DDS655455:DDS655493 CTW655455:CTW655493 CKA655455:CKA655493 CAE655455:CAE655493 BQI655455:BQI655493 BGM655455:BGM655493 AWQ655455:AWQ655493 AMU655455:AMU655493 ACY655455:ACY655493 TC655455:TC655493 JG655455:JG655493 K655455:K655493 WVS589919:WVS589957 WLW589919:WLW589957 WCA589919:WCA589957 VSE589919:VSE589957 VII589919:VII589957 UYM589919:UYM589957 UOQ589919:UOQ589957 UEU589919:UEU589957 TUY589919:TUY589957 TLC589919:TLC589957 TBG589919:TBG589957 SRK589919:SRK589957 SHO589919:SHO589957 RXS589919:RXS589957 RNW589919:RNW589957 REA589919:REA589957 QUE589919:QUE589957 QKI589919:QKI589957 QAM589919:QAM589957 PQQ589919:PQQ589957 PGU589919:PGU589957 OWY589919:OWY589957 ONC589919:ONC589957 ODG589919:ODG589957 NTK589919:NTK589957 NJO589919:NJO589957 MZS589919:MZS589957 MPW589919:MPW589957 MGA589919:MGA589957 LWE589919:LWE589957 LMI589919:LMI589957 LCM589919:LCM589957 KSQ589919:KSQ589957 KIU589919:KIU589957 JYY589919:JYY589957 JPC589919:JPC589957 JFG589919:JFG589957 IVK589919:IVK589957 ILO589919:ILO589957 IBS589919:IBS589957 HRW589919:HRW589957 HIA589919:HIA589957 GYE589919:GYE589957 GOI589919:GOI589957 GEM589919:GEM589957 FUQ589919:FUQ589957 FKU589919:FKU589957 FAY589919:FAY589957 ERC589919:ERC589957 EHG589919:EHG589957 DXK589919:DXK589957 DNO589919:DNO589957 DDS589919:DDS589957 CTW589919:CTW589957 CKA589919:CKA589957 CAE589919:CAE589957 BQI589919:BQI589957 BGM589919:BGM589957 AWQ589919:AWQ589957 AMU589919:AMU589957 ACY589919:ACY589957 TC589919:TC589957 JG589919:JG589957 K589919:K589957 WVS524383:WVS524421 WLW524383:WLW524421 WCA524383:WCA524421 VSE524383:VSE524421 VII524383:VII524421 UYM524383:UYM524421 UOQ524383:UOQ524421 UEU524383:UEU524421 TUY524383:TUY524421 TLC524383:TLC524421 TBG524383:TBG524421 SRK524383:SRK524421 SHO524383:SHO524421 RXS524383:RXS524421 RNW524383:RNW524421 REA524383:REA524421 QUE524383:QUE524421 QKI524383:QKI524421 QAM524383:QAM524421 PQQ524383:PQQ524421 PGU524383:PGU524421 OWY524383:OWY524421 ONC524383:ONC524421 ODG524383:ODG524421 NTK524383:NTK524421 NJO524383:NJO524421 MZS524383:MZS524421 MPW524383:MPW524421 MGA524383:MGA524421 LWE524383:LWE524421 LMI524383:LMI524421 LCM524383:LCM524421 KSQ524383:KSQ524421 KIU524383:KIU524421 JYY524383:JYY524421 JPC524383:JPC524421 JFG524383:JFG524421 IVK524383:IVK524421 ILO524383:ILO524421 IBS524383:IBS524421 HRW524383:HRW524421 HIA524383:HIA524421 GYE524383:GYE524421 GOI524383:GOI524421 GEM524383:GEM524421 FUQ524383:FUQ524421 FKU524383:FKU524421 FAY524383:FAY524421 ERC524383:ERC524421 EHG524383:EHG524421 DXK524383:DXK524421 DNO524383:DNO524421 DDS524383:DDS524421 CTW524383:CTW524421 CKA524383:CKA524421 CAE524383:CAE524421 BQI524383:BQI524421 BGM524383:BGM524421 AWQ524383:AWQ524421 AMU524383:AMU524421 ACY524383:ACY524421 TC524383:TC524421 JG524383:JG524421 K524383:K524421 WVS458847:WVS458885 WLW458847:WLW458885 WCA458847:WCA458885 VSE458847:VSE458885 VII458847:VII458885 UYM458847:UYM458885 UOQ458847:UOQ458885 UEU458847:UEU458885 TUY458847:TUY458885 TLC458847:TLC458885 TBG458847:TBG458885 SRK458847:SRK458885 SHO458847:SHO458885 RXS458847:RXS458885 RNW458847:RNW458885 REA458847:REA458885 QUE458847:QUE458885 QKI458847:QKI458885 QAM458847:QAM458885 PQQ458847:PQQ458885 PGU458847:PGU458885 OWY458847:OWY458885 ONC458847:ONC458885 ODG458847:ODG458885 NTK458847:NTK458885 NJO458847:NJO458885 MZS458847:MZS458885 MPW458847:MPW458885 MGA458847:MGA458885 LWE458847:LWE458885 LMI458847:LMI458885 LCM458847:LCM458885 KSQ458847:KSQ458885 KIU458847:KIU458885 JYY458847:JYY458885 JPC458847:JPC458885 JFG458847:JFG458885 IVK458847:IVK458885 ILO458847:ILO458885 IBS458847:IBS458885 HRW458847:HRW458885 HIA458847:HIA458885 GYE458847:GYE458885 GOI458847:GOI458885 GEM458847:GEM458885 FUQ458847:FUQ458885 FKU458847:FKU458885 FAY458847:FAY458885 ERC458847:ERC458885 EHG458847:EHG458885 DXK458847:DXK458885 DNO458847:DNO458885 DDS458847:DDS458885 CTW458847:CTW458885 CKA458847:CKA458885 CAE458847:CAE458885 BQI458847:BQI458885 BGM458847:BGM458885 AWQ458847:AWQ458885 AMU458847:AMU458885 ACY458847:ACY458885 TC458847:TC458885 JG458847:JG458885 K458847:K458885 WVS393311:WVS393349 WLW393311:WLW393349 WCA393311:WCA393349 VSE393311:VSE393349 VII393311:VII393349 UYM393311:UYM393349 UOQ393311:UOQ393349 UEU393311:UEU393349 TUY393311:TUY393349 TLC393311:TLC393349 TBG393311:TBG393349 SRK393311:SRK393349 SHO393311:SHO393349 RXS393311:RXS393349 RNW393311:RNW393349 REA393311:REA393349 QUE393311:QUE393349 QKI393311:QKI393349 QAM393311:QAM393349 PQQ393311:PQQ393349 PGU393311:PGU393349 OWY393311:OWY393349 ONC393311:ONC393349 ODG393311:ODG393349 NTK393311:NTK393349 NJO393311:NJO393349 MZS393311:MZS393349 MPW393311:MPW393349 MGA393311:MGA393349 LWE393311:LWE393349 LMI393311:LMI393349 LCM393311:LCM393349 KSQ393311:KSQ393349 KIU393311:KIU393349 JYY393311:JYY393349 JPC393311:JPC393349 JFG393311:JFG393349 IVK393311:IVK393349 ILO393311:ILO393349 IBS393311:IBS393349 HRW393311:HRW393349 HIA393311:HIA393349 GYE393311:GYE393349 GOI393311:GOI393349 GEM393311:GEM393349 FUQ393311:FUQ393349 FKU393311:FKU393349 FAY393311:FAY393349 ERC393311:ERC393349 EHG393311:EHG393349 DXK393311:DXK393349 DNO393311:DNO393349 DDS393311:DDS393349 CTW393311:CTW393349 CKA393311:CKA393349 CAE393311:CAE393349 BQI393311:BQI393349 BGM393311:BGM393349 AWQ393311:AWQ393349 AMU393311:AMU393349 ACY393311:ACY393349 TC393311:TC393349 JG393311:JG393349 K393311:K393349 WVS327775:WVS327813 WLW327775:WLW327813 WCA327775:WCA327813 VSE327775:VSE327813 VII327775:VII327813 UYM327775:UYM327813 UOQ327775:UOQ327813 UEU327775:UEU327813 TUY327775:TUY327813 TLC327775:TLC327813 TBG327775:TBG327813 SRK327775:SRK327813 SHO327775:SHO327813 RXS327775:RXS327813 RNW327775:RNW327813 REA327775:REA327813 QUE327775:QUE327813 QKI327775:QKI327813 QAM327775:QAM327813 PQQ327775:PQQ327813 PGU327775:PGU327813 OWY327775:OWY327813 ONC327775:ONC327813 ODG327775:ODG327813 NTK327775:NTK327813 NJO327775:NJO327813 MZS327775:MZS327813 MPW327775:MPW327813 MGA327775:MGA327813 LWE327775:LWE327813 LMI327775:LMI327813 LCM327775:LCM327813 KSQ327775:KSQ327813 KIU327775:KIU327813 JYY327775:JYY327813 JPC327775:JPC327813 JFG327775:JFG327813 IVK327775:IVK327813 ILO327775:ILO327813 IBS327775:IBS327813 HRW327775:HRW327813 HIA327775:HIA327813 GYE327775:GYE327813 GOI327775:GOI327813 GEM327775:GEM327813 FUQ327775:FUQ327813 FKU327775:FKU327813 FAY327775:FAY327813 ERC327775:ERC327813 EHG327775:EHG327813 DXK327775:DXK327813 DNO327775:DNO327813 DDS327775:DDS327813 CTW327775:CTW327813 CKA327775:CKA327813 CAE327775:CAE327813 BQI327775:BQI327813 BGM327775:BGM327813 AWQ327775:AWQ327813 AMU327775:AMU327813 ACY327775:ACY327813 TC327775:TC327813 JG327775:JG327813 K327775:K327813 WVS262239:WVS262277 WLW262239:WLW262277 WCA262239:WCA262277 VSE262239:VSE262277 VII262239:VII262277 UYM262239:UYM262277 UOQ262239:UOQ262277 UEU262239:UEU262277 TUY262239:TUY262277 TLC262239:TLC262277 TBG262239:TBG262277 SRK262239:SRK262277 SHO262239:SHO262277 RXS262239:RXS262277 RNW262239:RNW262277 REA262239:REA262277 QUE262239:QUE262277 QKI262239:QKI262277 QAM262239:QAM262277 PQQ262239:PQQ262277 PGU262239:PGU262277 OWY262239:OWY262277 ONC262239:ONC262277 ODG262239:ODG262277 NTK262239:NTK262277 NJO262239:NJO262277 MZS262239:MZS262277 MPW262239:MPW262277 MGA262239:MGA262277 LWE262239:LWE262277 LMI262239:LMI262277 LCM262239:LCM262277 KSQ262239:KSQ262277 KIU262239:KIU262277 JYY262239:JYY262277 JPC262239:JPC262277 JFG262239:JFG262277 IVK262239:IVK262277 ILO262239:ILO262277 IBS262239:IBS262277 HRW262239:HRW262277 HIA262239:HIA262277 GYE262239:GYE262277 GOI262239:GOI262277 GEM262239:GEM262277 FUQ262239:FUQ262277 FKU262239:FKU262277 FAY262239:FAY262277 ERC262239:ERC262277 EHG262239:EHG262277 DXK262239:DXK262277 DNO262239:DNO262277 DDS262239:DDS262277 CTW262239:CTW262277 CKA262239:CKA262277 CAE262239:CAE262277 BQI262239:BQI262277 BGM262239:BGM262277 AWQ262239:AWQ262277 AMU262239:AMU262277 ACY262239:ACY262277 TC262239:TC262277 JG262239:JG262277 K262239:K262277 WVS196703:WVS196741 WLW196703:WLW196741 WCA196703:WCA196741 VSE196703:VSE196741 VII196703:VII196741 UYM196703:UYM196741 UOQ196703:UOQ196741 UEU196703:UEU196741 TUY196703:TUY196741 TLC196703:TLC196741 TBG196703:TBG196741 SRK196703:SRK196741 SHO196703:SHO196741 RXS196703:RXS196741 RNW196703:RNW196741 REA196703:REA196741 QUE196703:QUE196741 QKI196703:QKI196741 QAM196703:QAM196741 PQQ196703:PQQ196741 PGU196703:PGU196741 OWY196703:OWY196741 ONC196703:ONC196741 ODG196703:ODG196741 NTK196703:NTK196741 NJO196703:NJO196741 MZS196703:MZS196741 MPW196703:MPW196741 MGA196703:MGA196741 LWE196703:LWE196741 LMI196703:LMI196741 LCM196703:LCM196741 KSQ196703:KSQ196741 KIU196703:KIU196741 JYY196703:JYY196741 JPC196703:JPC196741 JFG196703:JFG196741 IVK196703:IVK196741 ILO196703:ILO196741 IBS196703:IBS196741 HRW196703:HRW196741 HIA196703:HIA196741 GYE196703:GYE196741 GOI196703:GOI196741 GEM196703:GEM196741 FUQ196703:FUQ196741 FKU196703:FKU196741 FAY196703:FAY196741 ERC196703:ERC196741 EHG196703:EHG196741 DXK196703:DXK196741 DNO196703:DNO196741 DDS196703:DDS196741 CTW196703:CTW196741 CKA196703:CKA196741 CAE196703:CAE196741 BQI196703:BQI196741 BGM196703:BGM196741 AWQ196703:AWQ196741 AMU196703:AMU196741 ACY196703:ACY196741 TC196703:TC196741 JG196703:JG196741 K196703:K196741 WVS131167:WVS131205 WLW131167:WLW131205 WCA131167:WCA131205 VSE131167:VSE131205 VII131167:VII131205 UYM131167:UYM131205 UOQ131167:UOQ131205 UEU131167:UEU131205 TUY131167:TUY131205 TLC131167:TLC131205 TBG131167:TBG131205 SRK131167:SRK131205 SHO131167:SHO131205 RXS131167:RXS131205 RNW131167:RNW131205 REA131167:REA131205 QUE131167:QUE131205 QKI131167:QKI131205 QAM131167:QAM131205 PQQ131167:PQQ131205 PGU131167:PGU131205 OWY131167:OWY131205 ONC131167:ONC131205 ODG131167:ODG131205 NTK131167:NTK131205 NJO131167:NJO131205 MZS131167:MZS131205 MPW131167:MPW131205 MGA131167:MGA131205 LWE131167:LWE131205 LMI131167:LMI131205 LCM131167:LCM131205 KSQ131167:KSQ131205 KIU131167:KIU131205 JYY131167:JYY131205 JPC131167:JPC131205 JFG131167:JFG131205 IVK131167:IVK131205 ILO131167:ILO131205 IBS131167:IBS131205 HRW131167:HRW131205 HIA131167:HIA131205 GYE131167:GYE131205 GOI131167:GOI131205 GEM131167:GEM131205 FUQ131167:FUQ131205 FKU131167:FKU131205 FAY131167:FAY131205 ERC131167:ERC131205 EHG131167:EHG131205 DXK131167:DXK131205 DNO131167:DNO131205 DDS131167:DDS131205 CTW131167:CTW131205 CKA131167:CKA131205 CAE131167:CAE131205 BQI131167:BQI131205 BGM131167:BGM131205 AWQ131167:AWQ131205 AMU131167:AMU131205 ACY131167:ACY131205 TC131167:TC131205 JG131167:JG131205 K131167:K131205 WVS65631:WVS65669 WLW65631:WLW65669 WCA65631:WCA65669 VSE65631:VSE65669 VII65631:VII65669 UYM65631:UYM65669 UOQ65631:UOQ65669 UEU65631:UEU65669 TUY65631:TUY65669 TLC65631:TLC65669 TBG65631:TBG65669 SRK65631:SRK65669 SHO65631:SHO65669 RXS65631:RXS65669 RNW65631:RNW65669 REA65631:REA65669 QUE65631:QUE65669 QKI65631:QKI65669 QAM65631:QAM65669 PQQ65631:PQQ65669 PGU65631:PGU65669 OWY65631:OWY65669 ONC65631:ONC65669 ODG65631:ODG65669 NTK65631:NTK65669 NJO65631:NJO65669 MZS65631:MZS65669 MPW65631:MPW65669 MGA65631:MGA65669 LWE65631:LWE65669 LMI65631:LMI65669 LCM65631:LCM65669 KSQ65631:KSQ65669 KIU65631:KIU65669 JYY65631:JYY65669 JPC65631:JPC65669 JFG65631:JFG65669 IVK65631:IVK65669 ILO65631:ILO65669 IBS65631:IBS65669 HRW65631:HRW65669 HIA65631:HIA65669 GYE65631:GYE65669 GOI65631:GOI65669 GEM65631:GEM65669 FUQ65631:FUQ65669 FKU65631:FKU65669 FAY65631:FAY65669 ERC65631:ERC65669 EHG65631:EHG65669 DXK65631:DXK65669 DNO65631:DNO65669 DDS65631:DDS65669 CTW65631:CTW65669 CKA65631:CKA65669 CAE65631:CAE65669 BQI65631:BQI65669 BGM65631:BGM65669 AWQ65631:AWQ65669 AMU65631:AMU65669 ACY65631:ACY65669 TC65631:TC65669 JG65631:JG65669 K65631:K65669 WVS83:WVS121 WLW83:WLW121 WCA83:WCA121 VSE83:VSE121 VII83:VII121 UYM83:UYM121 UOQ83:UOQ121 UEU83:UEU121 TUY83:TUY121 TLC83:TLC121 TBG83:TBG121 SRK83:SRK121 SHO83:SHO121 RXS83:RXS121 RNW83:RNW121 REA83:REA121 QUE83:QUE121 QKI83:QKI121 QAM83:QAM121 PQQ83:PQQ121 PGU83:PGU121 OWY83:OWY121 ONC83:ONC121 ODG83:ODG121 NTK83:NTK121 NJO83:NJO121 MZS83:MZS121 MPW83:MPW121 MGA83:MGA121 LWE83:LWE121 LMI83:LMI121 LCM83:LCM121 KSQ83:KSQ121 KIU83:KIU121 JYY83:JYY121 JPC83:JPC121 JFG83:JFG121 IVK83:IVK121 ILO83:ILO121 IBS83:IBS121 HRW83:HRW121 HIA83:HIA121 GYE83:GYE121 GOI83:GOI121 GEM83:GEM121 FUQ83:FUQ121 FKU83:FKU121 FAY83:FAY121 ERC83:ERC121 EHG83:EHG121 DXK83:DXK121 DNO83:DNO121 DDS83:DDS121 CTW83:CTW121 CKA83:CKA121 CAE83:CAE121 BQI83:BQI121 BGM83:BGM121 AWQ83:AWQ121 AMU83:AMU121 ACY83:ACY121 TC83:TC121 JG83:JG121 K83:K121 WVS983077:WVS983130 WLW983077:WLW983130 WCA983077:WCA983130 VSE983077:VSE983130 VII983077:VII983130 UYM983077:UYM983130 UOQ983077:UOQ983130 UEU983077:UEU983130 TUY983077:TUY983130 TLC983077:TLC983130 TBG983077:TBG983130 SRK983077:SRK983130 SHO983077:SHO983130 RXS983077:RXS983130 RNW983077:RNW983130 REA983077:REA983130 QUE983077:QUE983130 QKI983077:QKI983130 QAM983077:QAM983130 PQQ983077:PQQ983130 PGU983077:PGU983130 OWY983077:OWY983130 ONC983077:ONC983130 ODG983077:ODG983130 NTK983077:NTK983130 NJO983077:NJO983130 MZS983077:MZS983130 MPW983077:MPW983130 MGA983077:MGA983130 LWE983077:LWE983130 LMI983077:LMI983130 LCM983077:LCM983130 KSQ983077:KSQ983130 KIU983077:KIU983130 JYY983077:JYY983130 JPC983077:JPC983130 JFG983077:JFG983130 IVK983077:IVK983130 ILO983077:ILO983130 IBS983077:IBS983130 HRW983077:HRW983130 HIA983077:HIA983130 GYE983077:GYE983130 GOI983077:GOI983130 GEM983077:GEM983130 FUQ983077:FUQ983130 FKU983077:FKU983130 FAY983077:FAY983130 ERC983077:ERC983130 EHG983077:EHG983130 DXK983077:DXK983130 DNO983077:DNO983130 DDS983077:DDS983130 CTW983077:CTW983130 CKA983077:CKA983130 CAE983077:CAE983130 BQI983077:BQI983130 BGM983077:BGM983130 AWQ983077:AWQ983130 AMU983077:AMU983130 ACY983077:ACY983130 TC983077:TC983130 JG983077:JG983130 K983077:K983130 WVS917541:WVS917594 WLW917541:WLW917594 WCA917541:WCA917594 VSE917541:VSE917594 VII917541:VII917594 UYM917541:UYM917594 UOQ917541:UOQ917594 UEU917541:UEU917594 TUY917541:TUY917594 TLC917541:TLC917594 TBG917541:TBG917594 SRK917541:SRK917594 SHO917541:SHO917594 RXS917541:RXS917594 RNW917541:RNW917594 REA917541:REA917594 QUE917541:QUE917594 QKI917541:QKI917594 QAM917541:QAM917594 PQQ917541:PQQ917594 PGU917541:PGU917594 OWY917541:OWY917594 ONC917541:ONC917594 ODG917541:ODG917594 NTK917541:NTK917594 NJO917541:NJO917594 MZS917541:MZS917594 MPW917541:MPW917594 MGA917541:MGA917594 LWE917541:LWE917594 LMI917541:LMI917594 LCM917541:LCM917594 KSQ917541:KSQ917594 KIU917541:KIU917594 JYY917541:JYY917594 JPC917541:JPC917594 JFG917541:JFG917594 IVK917541:IVK917594 ILO917541:ILO917594 IBS917541:IBS917594 HRW917541:HRW917594 HIA917541:HIA917594 GYE917541:GYE917594 GOI917541:GOI917594 GEM917541:GEM917594 FUQ917541:FUQ917594 FKU917541:FKU917594 FAY917541:FAY917594 ERC917541:ERC917594 EHG917541:EHG917594 DXK917541:DXK917594 DNO917541:DNO917594 DDS917541:DDS917594 CTW917541:CTW917594 CKA917541:CKA917594 CAE917541:CAE917594 BQI917541:BQI917594 BGM917541:BGM917594 AWQ917541:AWQ917594 AMU917541:AMU917594 ACY917541:ACY917594 TC917541:TC917594 JG917541:JG917594 K917541:K917594 WVS852005:WVS852058 WLW852005:WLW852058 WCA852005:WCA852058 VSE852005:VSE852058 VII852005:VII852058 UYM852005:UYM852058 UOQ852005:UOQ852058 UEU852005:UEU852058 TUY852005:TUY852058 TLC852005:TLC852058 TBG852005:TBG852058 SRK852005:SRK852058 SHO852005:SHO852058 RXS852005:RXS852058 RNW852005:RNW852058 REA852005:REA852058 QUE852005:QUE852058 QKI852005:QKI852058 QAM852005:QAM852058 PQQ852005:PQQ852058 PGU852005:PGU852058 OWY852005:OWY852058 ONC852005:ONC852058 ODG852005:ODG852058 NTK852005:NTK852058 NJO852005:NJO852058 MZS852005:MZS852058 MPW852005:MPW852058 MGA852005:MGA852058 LWE852005:LWE852058 LMI852005:LMI852058 LCM852005:LCM852058 KSQ852005:KSQ852058 KIU852005:KIU852058 JYY852005:JYY852058 JPC852005:JPC852058 JFG852005:JFG852058 IVK852005:IVK852058 ILO852005:ILO852058 IBS852005:IBS852058 HRW852005:HRW852058 HIA852005:HIA852058 GYE852005:GYE852058 GOI852005:GOI852058 GEM852005:GEM852058 FUQ852005:FUQ852058 FKU852005:FKU852058 FAY852005:FAY852058 ERC852005:ERC852058 EHG852005:EHG852058 DXK852005:DXK852058 DNO852005:DNO852058 DDS852005:DDS852058 CTW852005:CTW852058 CKA852005:CKA852058 CAE852005:CAE852058 BQI852005:BQI852058 BGM852005:BGM852058 AWQ852005:AWQ852058 AMU852005:AMU852058 ACY852005:ACY852058 TC852005:TC852058 JG852005:JG852058 K852005:K852058 WVS786469:WVS786522 WLW786469:WLW786522 WCA786469:WCA786522 VSE786469:VSE786522 VII786469:VII786522 UYM786469:UYM786522 UOQ786469:UOQ786522 UEU786469:UEU786522 TUY786469:TUY786522 TLC786469:TLC786522 TBG786469:TBG786522 SRK786469:SRK786522 SHO786469:SHO786522 RXS786469:RXS786522 RNW786469:RNW786522 REA786469:REA786522 QUE786469:QUE786522 QKI786469:QKI786522 QAM786469:QAM786522 PQQ786469:PQQ786522 PGU786469:PGU786522 OWY786469:OWY786522 ONC786469:ONC786522 ODG786469:ODG786522 NTK786469:NTK786522 NJO786469:NJO786522 MZS786469:MZS786522 MPW786469:MPW786522 MGA786469:MGA786522 LWE786469:LWE786522 LMI786469:LMI786522 LCM786469:LCM786522 KSQ786469:KSQ786522 KIU786469:KIU786522 JYY786469:JYY786522 JPC786469:JPC786522 JFG786469:JFG786522 IVK786469:IVK786522 ILO786469:ILO786522 IBS786469:IBS786522 HRW786469:HRW786522 HIA786469:HIA786522 GYE786469:GYE786522 GOI786469:GOI786522 GEM786469:GEM786522 FUQ786469:FUQ786522 FKU786469:FKU786522 FAY786469:FAY786522 ERC786469:ERC786522 EHG786469:EHG786522 DXK786469:DXK786522 DNO786469:DNO786522 DDS786469:DDS786522 CTW786469:CTW786522 CKA786469:CKA786522 CAE786469:CAE786522 BQI786469:BQI786522 BGM786469:BGM786522 AWQ786469:AWQ786522 AMU786469:AMU786522 ACY786469:ACY786522 TC786469:TC786522 JG786469:JG786522 K786469:K786522 WVS720933:WVS720986 WLW720933:WLW720986 WCA720933:WCA720986 VSE720933:VSE720986 VII720933:VII720986 UYM720933:UYM720986 UOQ720933:UOQ720986 UEU720933:UEU720986 TUY720933:TUY720986 TLC720933:TLC720986 TBG720933:TBG720986 SRK720933:SRK720986 SHO720933:SHO720986 RXS720933:RXS720986 RNW720933:RNW720986 REA720933:REA720986 QUE720933:QUE720986 QKI720933:QKI720986 QAM720933:QAM720986 PQQ720933:PQQ720986 PGU720933:PGU720986 OWY720933:OWY720986 ONC720933:ONC720986 ODG720933:ODG720986 NTK720933:NTK720986 NJO720933:NJO720986 MZS720933:MZS720986 MPW720933:MPW720986 MGA720933:MGA720986 LWE720933:LWE720986 LMI720933:LMI720986 LCM720933:LCM720986 KSQ720933:KSQ720986 KIU720933:KIU720986 JYY720933:JYY720986 JPC720933:JPC720986 JFG720933:JFG720986 IVK720933:IVK720986 ILO720933:ILO720986 IBS720933:IBS720986 HRW720933:HRW720986 HIA720933:HIA720986 GYE720933:GYE720986 GOI720933:GOI720986 GEM720933:GEM720986 FUQ720933:FUQ720986 FKU720933:FKU720986 FAY720933:FAY720986 ERC720933:ERC720986 EHG720933:EHG720986 DXK720933:DXK720986 DNO720933:DNO720986 DDS720933:DDS720986 CTW720933:CTW720986 CKA720933:CKA720986 CAE720933:CAE720986 BQI720933:BQI720986 BGM720933:BGM720986 AWQ720933:AWQ720986 AMU720933:AMU720986 ACY720933:ACY720986 TC720933:TC720986 JG720933:JG720986 K720933:K720986 WVS655397:WVS655450 WLW655397:WLW655450 WCA655397:WCA655450 VSE655397:VSE655450 VII655397:VII655450 UYM655397:UYM655450 UOQ655397:UOQ655450 UEU655397:UEU655450 TUY655397:TUY655450 TLC655397:TLC655450 TBG655397:TBG655450 SRK655397:SRK655450 SHO655397:SHO655450 RXS655397:RXS655450 RNW655397:RNW655450 REA655397:REA655450 QUE655397:QUE655450 QKI655397:QKI655450 QAM655397:QAM655450 PQQ655397:PQQ655450 PGU655397:PGU655450 OWY655397:OWY655450 ONC655397:ONC655450 ODG655397:ODG655450 NTK655397:NTK655450 NJO655397:NJO655450 MZS655397:MZS655450 MPW655397:MPW655450 MGA655397:MGA655450 LWE655397:LWE655450 LMI655397:LMI655450 LCM655397:LCM655450 KSQ655397:KSQ655450 KIU655397:KIU655450 JYY655397:JYY655450 JPC655397:JPC655450 JFG655397:JFG655450 IVK655397:IVK655450 ILO655397:ILO655450 IBS655397:IBS655450 HRW655397:HRW655450 HIA655397:HIA655450 GYE655397:GYE655450 GOI655397:GOI655450 GEM655397:GEM655450 FUQ655397:FUQ655450 FKU655397:FKU655450 FAY655397:FAY655450 ERC655397:ERC655450 EHG655397:EHG655450 DXK655397:DXK655450 DNO655397:DNO655450 DDS655397:DDS655450 CTW655397:CTW655450 CKA655397:CKA655450 CAE655397:CAE655450 BQI655397:BQI655450 BGM655397:BGM655450 AWQ655397:AWQ655450 AMU655397:AMU655450 ACY655397:ACY655450 TC655397:TC655450 JG655397:JG655450 K655397:K655450 WVS589861:WVS589914 WLW589861:WLW589914 WCA589861:WCA589914 VSE589861:VSE589914 VII589861:VII589914 UYM589861:UYM589914 UOQ589861:UOQ589914 UEU589861:UEU589914 TUY589861:TUY589914 TLC589861:TLC589914 TBG589861:TBG589914 SRK589861:SRK589914 SHO589861:SHO589914 RXS589861:RXS589914 RNW589861:RNW589914 REA589861:REA589914 QUE589861:QUE589914 QKI589861:QKI589914 QAM589861:QAM589914 PQQ589861:PQQ589914 PGU589861:PGU589914 OWY589861:OWY589914 ONC589861:ONC589914 ODG589861:ODG589914 NTK589861:NTK589914 NJO589861:NJO589914 MZS589861:MZS589914 MPW589861:MPW589914 MGA589861:MGA589914 LWE589861:LWE589914 LMI589861:LMI589914 LCM589861:LCM589914 KSQ589861:KSQ589914 KIU589861:KIU589914 JYY589861:JYY589914 JPC589861:JPC589914 JFG589861:JFG589914 IVK589861:IVK589914 ILO589861:ILO589914 IBS589861:IBS589914 HRW589861:HRW589914 HIA589861:HIA589914 GYE589861:GYE589914 GOI589861:GOI589914 GEM589861:GEM589914 FUQ589861:FUQ589914 FKU589861:FKU589914 FAY589861:FAY589914 ERC589861:ERC589914 EHG589861:EHG589914 DXK589861:DXK589914 DNO589861:DNO589914 DDS589861:DDS589914 CTW589861:CTW589914 CKA589861:CKA589914 CAE589861:CAE589914 BQI589861:BQI589914 BGM589861:BGM589914 AWQ589861:AWQ589914 AMU589861:AMU589914 ACY589861:ACY589914 TC589861:TC589914 JG589861:JG589914 K589861:K589914 WVS524325:WVS524378 WLW524325:WLW524378 WCA524325:WCA524378 VSE524325:VSE524378 VII524325:VII524378 UYM524325:UYM524378 UOQ524325:UOQ524378 UEU524325:UEU524378 TUY524325:TUY524378 TLC524325:TLC524378 TBG524325:TBG524378 SRK524325:SRK524378 SHO524325:SHO524378 RXS524325:RXS524378 RNW524325:RNW524378 REA524325:REA524378 QUE524325:QUE524378 QKI524325:QKI524378 QAM524325:QAM524378 PQQ524325:PQQ524378 PGU524325:PGU524378 OWY524325:OWY524378 ONC524325:ONC524378 ODG524325:ODG524378 NTK524325:NTK524378 NJO524325:NJO524378 MZS524325:MZS524378 MPW524325:MPW524378 MGA524325:MGA524378 LWE524325:LWE524378 LMI524325:LMI524378 LCM524325:LCM524378 KSQ524325:KSQ524378 KIU524325:KIU524378 JYY524325:JYY524378 JPC524325:JPC524378 JFG524325:JFG524378 IVK524325:IVK524378 ILO524325:ILO524378 IBS524325:IBS524378 HRW524325:HRW524378 HIA524325:HIA524378 GYE524325:GYE524378 GOI524325:GOI524378 GEM524325:GEM524378 FUQ524325:FUQ524378 FKU524325:FKU524378 FAY524325:FAY524378 ERC524325:ERC524378 EHG524325:EHG524378 DXK524325:DXK524378 DNO524325:DNO524378 DDS524325:DDS524378 CTW524325:CTW524378 CKA524325:CKA524378 CAE524325:CAE524378 BQI524325:BQI524378 BGM524325:BGM524378 AWQ524325:AWQ524378 AMU524325:AMU524378 ACY524325:ACY524378 TC524325:TC524378 JG524325:JG524378 K524325:K524378 WVS458789:WVS458842 WLW458789:WLW458842 WCA458789:WCA458842 VSE458789:VSE458842 VII458789:VII458842 UYM458789:UYM458842 UOQ458789:UOQ458842 UEU458789:UEU458842 TUY458789:TUY458842 TLC458789:TLC458842 TBG458789:TBG458842 SRK458789:SRK458842 SHO458789:SHO458842 RXS458789:RXS458842 RNW458789:RNW458842 REA458789:REA458842 QUE458789:QUE458842 QKI458789:QKI458842 QAM458789:QAM458842 PQQ458789:PQQ458842 PGU458789:PGU458842 OWY458789:OWY458842 ONC458789:ONC458842 ODG458789:ODG458842 NTK458789:NTK458842 NJO458789:NJO458842 MZS458789:MZS458842 MPW458789:MPW458842 MGA458789:MGA458842 LWE458789:LWE458842 LMI458789:LMI458842 LCM458789:LCM458842 KSQ458789:KSQ458842 KIU458789:KIU458842 JYY458789:JYY458842 JPC458789:JPC458842 JFG458789:JFG458842 IVK458789:IVK458842 ILO458789:ILO458842 IBS458789:IBS458842 HRW458789:HRW458842 HIA458789:HIA458842 GYE458789:GYE458842 GOI458789:GOI458842 GEM458789:GEM458842 FUQ458789:FUQ458842 FKU458789:FKU458842 FAY458789:FAY458842 ERC458789:ERC458842 EHG458789:EHG458842 DXK458789:DXK458842 DNO458789:DNO458842 DDS458789:DDS458842 CTW458789:CTW458842 CKA458789:CKA458842 CAE458789:CAE458842 BQI458789:BQI458842 BGM458789:BGM458842 AWQ458789:AWQ458842 AMU458789:AMU458842 ACY458789:ACY458842 TC458789:TC458842 JG458789:JG458842 K458789:K458842 WVS393253:WVS393306 WLW393253:WLW393306 WCA393253:WCA393306 VSE393253:VSE393306 VII393253:VII393306 UYM393253:UYM393306 UOQ393253:UOQ393306 UEU393253:UEU393306 TUY393253:TUY393306 TLC393253:TLC393306 TBG393253:TBG393306 SRK393253:SRK393306 SHO393253:SHO393306 RXS393253:RXS393306 RNW393253:RNW393306 REA393253:REA393306 QUE393253:QUE393306 QKI393253:QKI393306 QAM393253:QAM393306 PQQ393253:PQQ393306 PGU393253:PGU393306 OWY393253:OWY393306 ONC393253:ONC393306 ODG393253:ODG393306 NTK393253:NTK393306 NJO393253:NJO393306 MZS393253:MZS393306 MPW393253:MPW393306 MGA393253:MGA393306 LWE393253:LWE393306 LMI393253:LMI393306 LCM393253:LCM393306 KSQ393253:KSQ393306 KIU393253:KIU393306 JYY393253:JYY393306 JPC393253:JPC393306 JFG393253:JFG393306 IVK393253:IVK393306 ILO393253:ILO393306 IBS393253:IBS393306 HRW393253:HRW393306 HIA393253:HIA393306 GYE393253:GYE393306 GOI393253:GOI393306 GEM393253:GEM393306 FUQ393253:FUQ393306 FKU393253:FKU393306 FAY393253:FAY393306 ERC393253:ERC393306 EHG393253:EHG393306 DXK393253:DXK393306 DNO393253:DNO393306 DDS393253:DDS393306 CTW393253:CTW393306 CKA393253:CKA393306 CAE393253:CAE393306 BQI393253:BQI393306 BGM393253:BGM393306 AWQ393253:AWQ393306 AMU393253:AMU393306 ACY393253:ACY393306 TC393253:TC393306 JG393253:JG393306 K393253:K393306 WVS327717:WVS327770 WLW327717:WLW327770 WCA327717:WCA327770 VSE327717:VSE327770 VII327717:VII327770 UYM327717:UYM327770 UOQ327717:UOQ327770 UEU327717:UEU327770 TUY327717:TUY327770 TLC327717:TLC327770 TBG327717:TBG327770 SRK327717:SRK327770 SHO327717:SHO327770 RXS327717:RXS327770 RNW327717:RNW327770 REA327717:REA327770 QUE327717:QUE327770 QKI327717:QKI327770 QAM327717:QAM327770 PQQ327717:PQQ327770 PGU327717:PGU327770 OWY327717:OWY327770 ONC327717:ONC327770 ODG327717:ODG327770 NTK327717:NTK327770 NJO327717:NJO327770 MZS327717:MZS327770 MPW327717:MPW327770 MGA327717:MGA327770 LWE327717:LWE327770 LMI327717:LMI327770 LCM327717:LCM327770 KSQ327717:KSQ327770 KIU327717:KIU327770 JYY327717:JYY327770 JPC327717:JPC327770 JFG327717:JFG327770 IVK327717:IVK327770 ILO327717:ILO327770 IBS327717:IBS327770 HRW327717:HRW327770 HIA327717:HIA327770 GYE327717:GYE327770 GOI327717:GOI327770 GEM327717:GEM327770 FUQ327717:FUQ327770 FKU327717:FKU327770 FAY327717:FAY327770 ERC327717:ERC327770 EHG327717:EHG327770 DXK327717:DXK327770 DNO327717:DNO327770 DDS327717:DDS327770 CTW327717:CTW327770 CKA327717:CKA327770 CAE327717:CAE327770 BQI327717:BQI327770 BGM327717:BGM327770 AWQ327717:AWQ327770 AMU327717:AMU327770 ACY327717:ACY327770 TC327717:TC327770 JG327717:JG327770 K327717:K327770 WVS262181:WVS262234 WLW262181:WLW262234 WCA262181:WCA262234 VSE262181:VSE262234 VII262181:VII262234 UYM262181:UYM262234 UOQ262181:UOQ262234 UEU262181:UEU262234 TUY262181:TUY262234 TLC262181:TLC262234 TBG262181:TBG262234 SRK262181:SRK262234 SHO262181:SHO262234 RXS262181:RXS262234 RNW262181:RNW262234 REA262181:REA262234 QUE262181:QUE262234 QKI262181:QKI262234 QAM262181:QAM262234 PQQ262181:PQQ262234 PGU262181:PGU262234 OWY262181:OWY262234 ONC262181:ONC262234 ODG262181:ODG262234 NTK262181:NTK262234 NJO262181:NJO262234 MZS262181:MZS262234 MPW262181:MPW262234 MGA262181:MGA262234 LWE262181:LWE262234 LMI262181:LMI262234 LCM262181:LCM262234 KSQ262181:KSQ262234 KIU262181:KIU262234 JYY262181:JYY262234 JPC262181:JPC262234 JFG262181:JFG262234 IVK262181:IVK262234 ILO262181:ILO262234 IBS262181:IBS262234 HRW262181:HRW262234 HIA262181:HIA262234 GYE262181:GYE262234 GOI262181:GOI262234 GEM262181:GEM262234 FUQ262181:FUQ262234 FKU262181:FKU262234 FAY262181:FAY262234 ERC262181:ERC262234 EHG262181:EHG262234 DXK262181:DXK262234 DNO262181:DNO262234 DDS262181:DDS262234 CTW262181:CTW262234 CKA262181:CKA262234 CAE262181:CAE262234 BQI262181:BQI262234 BGM262181:BGM262234 AWQ262181:AWQ262234 AMU262181:AMU262234 ACY262181:ACY262234 TC262181:TC262234 JG262181:JG262234 K262181:K262234 WVS196645:WVS196698 WLW196645:WLW196698 WCA196645:WCA196698 VSE196645:VSE196698 VII196645:VII196698 UYM196645:UYM196698 UOQ196645:UOQ196698 UEU196645:UEU196698 TUY196645:TUY196698 TLC196645:TLC196698 TBG196645:TBG196698 SRK196645:SRK196698 SHO196645:SHO196698 RXS196645:RXS196698 RNW196645:RNW196698 REA196645:REA196698 QUE196645:QUE196698 QKI196645:QKI196698 QAM196645:QAM196698 PQQ196645:PQQ196698 PGU196645:PGU196698 OWY196645:OWY196698 ONC196645:ONC196698 ODG196645:ODG196698 NTK196645:NTK196698 NJO196645:NJO196698 MZS196645:MZS196698 MPW196645:MPW196698 MGA196645:MGA196698 LWE196645:LWE196698 LMI196645:LMI196698 LCM196645:LCM196698 KSQ196645:KSQ196698 KIU196645:KIU196698 JYY196645:JYY196698 JPC196645:JPC196698 JFG196645:JFG196698 IVK196645:IVK196698 ILO196645:ILO196698 IBS196645:IBS196698 HRW196645:HRW196698 HIA196645:HIA196698 GYE196645:GYE196698 GOI196645:GOI196698 GEM196645:GEM196698 FUQ196645:FUQ196698 FKU196645:FKU196698 FAY196645:FAY196698 ERC196645:ERC196698 EHG196645:EHG196698 DXK196645:DXK196698 DNO196645:DNO196698 DDS196645:DDS196698 CTW196645:CTW196698 CKA196645:CKA196698 CAE196645:CAE196698 BQI196645:BQI196698 BGM196645:BGM196698 AWQ196645:AWQ196698 AMU196645:AMU196698 ACY196645:ACY196698 TC196645:TC196698 JG196645:JG196698 K196645:K196698 WVS131109:WVS131162 WLW131109:WLW131162 WCA131109:WCA131162 VSE131109:VSE131162 VII131109:VII131162 UYM131109:UYM131162 UOQ131109:UOQ131162 UEU131109:UEU131162 TUY131109:TUY131162 TLC131109:TLC131162 TBG131109:TBG131162 SRK131109:SRK131162 SHO131109:SHO131162 RXS131109:RXS131162 RNW131109:RNW131162 REA131109:REA131162 QUE131109:QUE131162 QKI131109:QKI131162 QAM131109:QAM131162 PQQ131109:PQQ131162 PGU131109:PGU131162 OWY131109:OWY131162 ONC131109:ONC131162 ODG131109:ODG131162 NTK131109:NTK131162 NJO131109:NJO131162 MZS131109:MZS131162 MPW131109:MPW131162 MGA131109:MGA131162 LWE131109:LWE131162 LMI131109:LMI131162 LCM131109:LCM131162 KSQ131109:KSQ131162 KIU131109:KIU131162 JYY131109:JYY131162 JPC131109:JPC131162 JFG131109:JFG131162 IVK131109:IVK131162 ILO131109:ILO131162 IBS131109:IBS131162 HRW131109:HRW131162 HIA131109:HIA131162 GYE131109:GYE131162 GOI131109:GOI131162 GEM131109:GEM131162 FUQ131109:FUQ131162 FKU131109:FKU131162 FAY131109:FAY131162 ERC131109:ERC131162 EHG131109:EHG131162 DXK131109:DXK131162 DNO131109:DNO131162 DDS131109:DDS131162 CTW131109:CTW131162 CKA131109:CKA131162 CAE131109:CAE131162 BQI131109:BQI131162 BGM131109:BGM131162 AWQ131109:AWQ131162 AMU131109:AMU131162 ACY131109:ACY131162 TC131109:TC131162 JG131109:JG131162 K131109:K131162 WVS65573:WVS65626 WLW65573:WLW65626 WCA65573:WCA65626 VSE65573:VSE65626 VII65573:VII65626 UYM65573:UYM65626 UOQ65573:UOQ65626 UEU65573:UEU65626 TUY65573:TUY65626 TLC65573:TLC65626 TBG65573:TBG65626 SRK65573:SRK65626 SHO65573:SHO65626 RXS65573:RXS65626 RNW65573:RNW65626 REA65573:REA65626 QUE65573:QUE65626 QKI65573:QKI65626 QAM65573:QAM65626 PQQ65573:PQQ65626 PGU65573:PGU65626 OWY65573:OWY65626 ONC65573:ONC65626 ODG65573:ODG65626 NTK65573:NTK65626 NJO65573:NJO65626 MZS65573:MZS65626 MPW65573:MPW65626 MGA65573:MGA65626 LWE65573:LWE65626 LMI65573:LMI65626 LCM65573:LCM65626 KSQ65573:KSQ65626 KIU65573:KIU65626 JYY65573:JYY65626 JPC65573:JPC65626 JFG65573:JFG65626 IVK65573:IVK65626 ILO65573:ILO65626 IBS65573:IBS65626 HRW65573:HRW65626 HIA65573:HIA65626 GYE65573:GYE65626 GOI65573:GOI65626 GEM65573:GEM65626 FUQ65573:FUQ65626 FKU65573:FKU65626 FAY65573:FAY65626 ERC65573:ERC65626 EHG65573:EHG65626 DXK65573:DXK65626 DNO65573:DNO65626 DDS65573:DDS65626 CTW65573:CTW65626 CKA65573:CKA65626 CAE65573:CAE65626 BQI65573:BQI65626 BGM65573:BGM65626 AWQ65573:AWQ65626 AMU65573:AMU65626 ACY65573:ACY65626 TC65573:TC65626 JG65573:JG65626 K65573:K65626 WVS24:WVS78 WLW24:WLW78 WCA24:WCA78 VSE24:VSE78 VII24:VII78 UYM24:UYM78 UOQ24:UOQ78 UEU24:UEU78 TUY24:TUY78 TLC24:TLC78 TBG24:TBG78 SRK24:SRK78 SHO24:SHO78 RXS24:RXS78 RNW24:RNW78 REA24:REA78 QUE24:QUE78 QKI24:QKI78 QAM24:QAM78 PQQ24:PQQ78 PGU24:PGU78 OWY24:OWY78 ONC24:ONC78 ODG24:ODG78 NTK24:NTK78 NJO24:NJO78 MZS24:MZS78 MPW24:MPW78 MGA24:MGA78 LWE24:LWE78 LMI24:LMI78 LCM24:LCM78 KSQ24:KSQ78 KIU24:KIU78 JYY24:JYY78 JPC24:JPC78 JFG24:JFG78 IVK24:IVK78 ILO24:ILO78 IBS24:IBS78 HRW24:HRW78 HIA24:HIA78 GYE24:GYE78 GOI24:GOI78 GEM24:GEM78 FUQ24:FUQ78 FKU24:FKU78 FAY24:FAY78 ERC24:ERC78 EHG24:EHG78 DXK24:DXK78 DNO24:DNO78 DDS24:DDS78 CTW24:CTW78 CKA24:CKA78 CAE24:CAE78 BQI24:BQI78 BGM24:BGM78 AWQ24:AWQ78 AMU24:AMU78 ACY24:ACY78 TC24:TC78 JG24:JG78">
      <formula1>$B$194:$B$198</formula1>
    </dataValidation>
  </dataValidations>
  <pageMargins left="0.7" right="0.7" top="0.75" bottom="0.75" header="0.3" footer="0.3"/>
  <ignoredErrors>
    <ignoredError sqref="C6:D6 D13 C4:E4 C5:D5" unlocked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0"/>
  <sheetViews>
    <sheetView zoomScaleNormal="100" workbookViewId="0">
      <selection sqref="A1:A2"/>
    </sheetView>
  </sheetViews>
  <sheetFormatPr baseColWidth="10" defaultColWidth="11.42578125" defaultRowHeight="15" x14ac:dyDescent="0.25"/>
  <cols>
    <col min="1" max="1" width="37.28515625" style="440" customWidth="1"/>
    <col min="2" max="2" width="39.42578125" style="440" customWidth="1"/>
    <col min="3" max="3" width="35.140625" style="440" customWidth="1"/>
    <col min="4" max="4" width="28" style="440" customWidth="1"/>
    <col min="5" max="5" width="26.7109375" style="440" customWidth="1"/>
    <col min="6" max="6" width="29.140625" style="440" customWidth="1"/>
    <col min="7" max="7" width="49.7109375" style="440" customWidth="1"/>
    <col min="8" max="8" width="33.140625" style="442" customWidth="1"/>
    <col min="9" max="9" width="33" style="442" customWidth="1"/>
    <col min="10" max="11" width="29" style="440" customWidth="1"/>
    <col min="12" max="12" width="22.7109375" style="440" customWidth="1"/>
    <col min="13" max="14" width="11.42578125" style="440"/>
    <col min="15" max="15" width="16.42578125" style="440" customWidth="1"/>
    <col min="16" max="256" width="11.42578125" style="440"/>
    <col min="257" max="257" width="37.28515625" style="440" customWidth="1"/>
    <col min="258" max="258" width="39.42578125" style="440" customWidth="1"/>
    <col min="259" max="259" width="35.140625" style="440" customWidth="1"/>
    <col min="260" max="260" width="28" style="440" customWidth="1"/>
    <col min="261" max="261" width="26.7109375" style="440" customWidth="1"/>
    <col min="262" max="262" width="23.7109375" style="440" customWidth="1"/>
    <col min="263" max="263" width="30.7109375" style="440" bestFit="1" customWidth="1"/>
    <col min="264" max="264" width="24.140625" style="440" customWidth="1"/>
    <col min="265" max="265" width="30.42578125" style="440" customWidth="1"/>
    <col min="266" max="267" width="29" style="440" customWidth="1"/>
    <col min="268" max="268" width="22.7109375" style="440" customWidth="1"/>
    <col min="269" max="270" width="11.42578125" style="440"/>
    <col min="271" max="271" width="16.42578125" style="440" customWidth="1"/>
    <col min="272" max="512" width="11.42578125" style="440"/>
    <col min="513" max="513" width="37.28515625" style="440" customWidth="1"/>
    <col min="514" max="514" width="39.42578125" style="440" customWidth="1"/>
    <col min="515" max="515" width="35.140625" style="440" customWidth="1"/>
    <col min="516" max="516" width="28" style="440" customWidth="1"/>
    <col min="517" max="517" width="26.7109375" style="440" customWidth="1"/>
    <col min="518" max="518" width="23.7109375" style="440" customWidth="1"/>
    <col min="519" max="519" width="30.7109375" style="440" bestFit="1" customWidth="1"/>
    <col min="520" max="520" width="24.140625" style="440" customWidth="1"/>
    <col min="521" max="521" width="30.42578125" style="440" customWidth="1"/>
    <col min="522" max="523" width="29" style="440" customWidth="1"/>
    <col min="524" max="524" width="22.7109375" style="440" customWidth="1"/>
    <col min="525" max="526" width="11.42578125" style="440"/>
    <col min="527" max="527" width="16.42578125" style="440" customWidth="1"/>
    <col min="528" max="768" width="11.42578125" style="440"/>
    <col min="769" max="769" width="37.28515625" style="440" customWidth="1"/>
    <col min="770" max="770" width="39.42578125" style="440" customWidth="1"/>
    <col min="771" max="771" width="35.140625" style="440" customWidth="1"/>
    <col min="772" max="772" width="28" style="440" customWidth="1"/>
    <col min="773" max="773" width="26.7109375" style="440" customWidth="1"/>
    <col min="774" max="774" width="23.7109375" style="440" customWidth="1"/>
    <col min="775" max="775" width="30.7109375" style="440" bestFit="1" customWidth="1"/>
    <col min="776" max="776" width="24.140625" style="440" customWidth="1"/>
    <col min="777" max="777" width="30.42578125" style="440" customWidth="1"/>
    <col min="778" max="779" width="29" style="440" customWidth="1"/>
    <col min="780" max="780" width="22.7109375" style="440" customWidth="1"/>
    <col min="781" max="782" width="11.42578125" style="440"/>
    <col min="783" max="783" width="16.42578125" style="440" customWidth="1"/>
    <col min="784" max="1024" width="11.42578125" style="440"/>
    <col min="1025" max="1025" width="37.28515625" style="440" customWidth="1"/>
    <col min="1026" max="1026" width="39.42578125" style="440" customWidth="1"/>
    <col min="1027" max="1027" width="35.140625" style="440" customWidth="1"/>
    <col min="1028" max="1028" width="28" style="440" customWidth="1"/>
    <col min="1029" max="1029" width="26.7109375" style="440" customWidth="1"/>
    <col min="1030" max="1030" width="23.7109375" style="440" customWidth="1"/>
    <col min="1031" max="1031" width="30.7109375" style="440" bestFit="1" customWidth="1"/>
    <col min="1032" max="1032" width="24.140625" style="440" customWidth="1"/>
    <col min="1033" max="1033" width="30.42578125" style="440" customWidth="1"/>
    <col min="1034" max="1035" width="29" style="440" customWidth="1"/>
    <col min="1036" max="1036" width="22.7109375" style="440" customWidth="1"/>
    <col min="1037" max="1038" width="11.42578125" style="440"/>
    <col min="1039" max="1039" width="16.42578125" style="440" customWidth="1"/>
    <col min="1040" max="1280" width="11.42578125" style="440"/>
    <col min="1281" max="1281" width="37.28515625" style="440" customWidth="1"/>
    <col min="1282" max="1282" width="39.42578125" style="440" customWidth="1"/>
    <col min="1283" max="1283" width="35.140625" style="440" customWidth="1"/>
    <col min="1284" max="1284" width="28" style="440" customWidth="1"/>
    <col min="1285" max="1285" width="26.7109375" style="440" customWidth="1"/>
    <col min="1286" max="1286" width="23.7109375" style="440" customWidth="1"/>
    <col min="1287" max="1287" width="30.7109375" style="440" bestFit="1" customWidth="1"/>
    <col min="1288" max="1288" width="24.140625" style="440" customWidth="1"/>
    <col min="1289" max="1289" width="30.42578125" style="440" customWidth="1"/>
    <col min="1290" max="1291" width="29" style="440" customWidth="1"/>
    <col min="1292" max="1292" width="22.7109375" style="440" customWidth="1"/>
    <col min="1293" max="1294" width="11.42578125" style="440"/>
    <col min="1295" max="1295" width="16.42578125" style="440" customWidth="1"/>
    <col min="1296" max="1536" width="11.42578125" style="440"/>
    <col min="1537" max="1537" width="37.28515625" style="440" customWidth="1"/>
    <col min="1538" max="1538" width="39.42578125" style="440" customWidth="1"/>
    <col min="1539" max="1539" width="35.140625" style="440" customWidth="1"/>
    <col min="1540" max="1540" width="28" style="440" customWidth="1"/>
    <col min="1541" max="1541" width="26.7109375" style="440" customWidth="1"/>
    <col min="1542" max="1542" width="23.7109375" style="440" customWidth="1"/>
    <col min="1543" max="1543" width="30.7109375" style="440" bestFit="1" customWidth="1"/>
    <col min="1544" max="1544" width="24.140625" style="440" customWidth="1"/>
    <col min="1545" max="1545" width="30.42578125" style="440" customWidth="1"/>
    <col min="1546" max="1547" width="29" style="440" customWidth="1"/>
    <col min="1548" max="1548" width="22.7109375" style="440" customWidth="1"/>
    <col min="1549" max="1550" width="11.42578125" style="440"/>
    <col min="1551" max="1551" width="16.42578125" style="440" customWidth="1"/>
    <col min="1552" max="1792" width="11.42578125" style="440"/>
    <col min="1793" max="1793" width="37.28515625" style="440" customWidth="1"/>
    <col min="1794" max="1794" width="39.42578125" style="440" customWidth="1"/>
    <col min="1795" max="1795" width="35.140625" style="440" customWidth="1"/>
    <col min="1796" max="1796" width="28" style="440" customWidth="1"/>
    <col min="1797" max="1797" width="26.7109375" style="440" customWidth="1"/>
    <col min="1798" max="1798" width="23.7109375" style="440" customWidth="1"/>
    <col min="1799" max="1799" width="30.7109375" style="440" bestFit="1" customWidth="1"/>
    <col min="1800" max="1800" width="24.140625" style="440" customWidth="1"/>
    <col min="1801" max="1801" width="30.42578125" style="440" customWidth="1"/>
    <col min="1802" max="1803" width="29" style="440" customWidth="1"/>
    <col min="1804" max="1804" width="22.7109375" style="440" customWidth="1"/>
    <col min="1805" max="1806" width="11.42578125" style="440"/>
    <col min="1807" max="1807" width="16.42578125" style="440" customWidth="1"/>
    <col min="1808" max="2048" width="11.42578125" style="440"/>
    <col min="2049" max="2049" width="37.28515625" style="440" customWidth="1"/>
    <col min="2050" max="2050" width="39.42578125" style="440" customWidth="1"/>
    <col min="2051" max="2051" width="35.140625" style="440" customWidth="1"/>
    <col min="2052" max="2052" width="28" style="440" customWidth="1"/>
    <col min="2053" max="2053" width="26.7109375" style="440" customWidth="1"/>
    <col min="2054" max="2054" width="23.7109375" style="440" customWidth="1"/>
    <col min="2055" max="2055" width="30.7109375" style="440" bestFit="1" customWidth="1"/>
    <col min="2056" max="2056" width="24.140625" style="440" customWidth="1"/>
    <col min="2057" max="2057" width="30.42578125" style="440" customWidth="1"/>
    <col min="2058" max="2059" width="29" style="440" customWidth="1"/>
    <col min="2060" max="2060" width="22.7109375" style="440" customWidth="1"/>
    <col min="2061" max="2062" width="11.42578125" style="440"/>
    <col min="2063" max="2063" width="16.42578125" style="440" customWidth="1"/>
    <col min="2064" max="2304" width="11.42578125" style="440"/>
    <col min="2305" max="2305" width="37.28515625" style="440" customWidth="1"/>
    <col min="2306" max="2306" width="39.42578125" style="440" customWidth="1"/>
    <col min="2307" max="2307" width="35.140625" style="440" customWidth="1"/>
    <col min="2308" max="2308" width="28" style="440" customWidth="1"/>
    <col min="2309" max="2309" width="26.7109375" style="440" customWidth="1"/>
    <col min="2310" max="2310" width="23.7109375" style="440" customWidth="1"/>
    <col min="2311" max="2311" width="30.7109375" style="440" bestFit="1" customWidth="1"/>
    <col min="2312" max="2312" width="24.140625" style="440" customWidth="1"/>
    <col min="2313" max="2313" width="30.42578125" style="440" customWidth="1"/>
    <col min="2314" max="2315" width="29" style="440" customWidth="1"/>
    <col min="2316" max="2316" width="22.7109375" style="440" customWidth="1"/>
    <col min="2317" max="2318" width="11.42578125" style="440"/>
    <col min="2319" max="2319" width="16.42578125" style="440" customWidth="1"/>
    <col min="2320" max="2560" width="11.42578125" style="440"/>
    <col min="2561" max="2561" width="37.28515625" style="440" customWidth="1"/>
    <col min="2562" max="2562" width="39.42578125" style="440" customWidth="1"/>
    <col min="2563" max="2563" width="35.140625" style="440" customWidth="1"/>
    <col min="2564" max="2564" width="28" style="440" customWidth="1"/>
    <col min="2565" max="2565" width="26.7109375" style="440" customWidth="1"/>
    <col min="2566" max="2566" width="23.7109375" style="440" customWidth="1"/>
    <col min="2567" max="2567" width="30.7109375" style="440" bestFit="1" customWidth="1"/>
    <col min="2568" max="2568" width="24.140625" style="440" customWidth="1"/>
    <col min="2569" max="2569" width="30.42578125" style="440" customWidth="1"/>
    <col min="2570" max="2571" width="29" style="440" customWidth="1"/>
    <col min="2572" max="2572" width="22.7109375" style="440" customWidth="1"/>
    <col min="2573" max="2574" width="11.42578125" style="440"/>
    <col min="2575" max="2575" width="16.42578125" style="440" customWidth="1"/>
    <col min="2576" max="2816" width="11.42578125" style="440"/>
    <col min="2817" max="2817" width="37.28515625" style="440" customWidth="1"/>
    <col min="2818" max="2818" width="39.42578125" style="440" customWidth="1"/>
    <col min="2819" max="2819" width="35.140625" style="440" customWidth="1"/>
    <col min="2820" max="2820" width="28" style="440" customWidth="1"/>
    <col min="2821" max="2821" width="26.7109375" style="440" customWidth="1"/>
    <col min="2822" max="2822" width="23.7109375" style="440" customWidth="1"/>
    <col min="2823" max="2823" width="30.7109375" style="440" bestFit="1" customWidth="1"/>
    <col min="2824" max="2824" width="24.140625" style="440" customWidth="1"/>
    <col min="2825" max="2825" width="30.42578125" style="440" customWidth="1"/>
    <col min="2826" max="2827" width="29" style="440" customWidth="1"/>
    <col min="2828" max="2828" width="22.7109375" style="440" customWidth="1"/>
    <col min="2829" max="2830" width="11.42578125" style="440"/>
    <col min="2831" max="2831" width="16.42578125" style="440" customWidth="1"/>
    <col min="2832" max="3072" width="11.42578125" style="440"/>
    <col min="3073" max="3073" width="37.28515625" style="440" customWidth="1"/>
    <col min="3074" max="3074" width="39.42578125" style="440" customWidth="1"/>
    <col min="3075" max="3075" width="35.140625" style="440" customWidth="1"/>
    <col min="3076" max="3076" width="28" style="440" customWidth="1"/>
    <col min="3077" max="3077" width="26.7109375" style="440" customWidth="1"/>
    <col min="3078" max="3078" width="23.7109375" style="440" customWidth="1"/>
    <col min="3079" max="3079" width="30.7109375" style="440" bestFit="1" customWidth="1"/>
    <col min="3080" max="3080" width="24.140625" style="440" customWidth="1"/>
    <col min="3081" max="3081" width="30.42578125" style="440" customWidth="1"/>
    <col min="3082" max="3083" width="29" style="440" customWidth="1"/>
    <col min="3084" max="3084" width="22.7109375" style="440" customWidth="1"/>
    <col min="3085" max="3086" width="11.42578125" style="440"/>
    <col min="3087" max="3087" width="16.42578125" style="440" customWidth="1"/>
    <col min="3088" max="3328" width="11.42578125" style="440"/>
    <col min="3329" max="3329" width="37.28515625" style="440" customWidth="1"/>
    <col min="3330" max="3330" width="39.42578125" style="440" customWidth="1"/>
    <col min="3331" max="3331" width="35.140625" style="440" customWidth="1"/>
    <col min="3332" max="3332" width="28" style="440" customWidth="1"/>
    <col min="3333" max="3333" width="26.7109375" style="440" customWidth="1"/>
    <col min="3334" max="3334" width="23.7109375" style="440" customWidth="1"/>
    <col min="3335" max="3335" width="30.7109375" style="440" bestFit="1" customWidth="1"/>
    <col min="3336" max="3336" width="24.140625" style="440" customWidth="1"/>
    <col min="3337" max="3337" width="30.42578125" style="440" customWidth="1"/>
    <col min="3338" max="3339" width="29" style="440" customWidth="1"/>
    <col min="3340" max="3340" width="22.7109375" style="440" customWidth="1"/>
    <col min="3341" max="3342" width="11.42578125" style="440"/>
    <col min="3343" max="3343" width="16.42578125" style="440" customWidth="1"/>
    <col min="3344" max="3584" width="11.42578125" style="440"/>
    <col min="3585" max="3585" width="37.28515625" style="440" customWidth="1"/>
    <col min="3586" max="3586" width="39.42578125" style="440" customWidth="1"/>
    <col min="3587" max="3587" width="35.140625" style="440" customWidth="1"/>
    <col min="3588" max="3588" width="28" style="440" customWidth="1"/>
    <col min="3589" max="3589" width="26.7109375" style="440" customWidth="1"/>
    <col min="3590" max="3590" width="23.7109375" style="440" customWidth="1"/>
    <col min="3591" max="3591" width="30.7109375" style="440" bestFit="1" customWidth="1"/>
    <col min="3592" max="3592" width="24.140625" style="440" customWidth="1"/>
    <col min="3593" max="3593" width="30.42578125" style="440" customWidth="1"/>
    <col min="3594" max="3595" width="29" style="440" customWidth="1"/>
    <col min="3596" max="3596" width="22.7109375" style="440" customWidth="1"/>
    <col min="3597" max="3598" width="11.42578125" style="440"/>
    <col min="3599" max="3599" width="16.42578125" style="440" customWidth="1"/>
    <col min="3600" max="3840" width="11.42578125" style="440"/>
    <col min="3841" max="3841" width="37.28515625" style="440" customWidth="1"/>
    <col min="3842" max="3842" width="39.42578125" style="440" customWidth="1"/>
    <col min="3843" max="3843" width="35.140625" style="440" customWidth="1"/>
    <col min="3844" max="3844" width="28" style="440" customWidth="1"/>
    <col min="3845" max="3845" width="26.7109375" style="440" customWidth="1"/>
    <col min="3846" max="3846" width="23.7109375" style="440" customWidth="1"/>
    <col min="3847" max="3847" width="30.7109375" style="440" bestFit="1" customWidth="1"/>
    <col min="3848" max="3848" width="24.140625" style="440" customWidth="1"/>
    <col min="3849" max="3849" width="30.42578125" style="440" customWidth="1"/>
    <col min="3850" max="3851" width="29" style="440" customWidth="1"/>
    <col min="3852" max="3852" width="22.7109375" style="440" customWidth="1"/>
    <col min="3853" max="3854" width="11.42578125" style="440"/>
    <col min="3855" max="3855" width="16.42578125" style="440" customWidth="1"/>
    <col min="3856" max="4096" width="11.42578125" style="440"/>
    <col min="4097" max="4097" width="37.28515625" style="440" customWidth="1"/>
    <col min="4098" max="4098" width="39.42578125" style="440" customWidth="1"/>
    <col min="4099" max="4099" width="35.140625" style="440" customWidth="1"/>
    <col min="4100" max="4100" width="28" style="440" customWidth="1"/>
    <col min="4101" max="4101" width="26.7109375" style="440" customWidth="1"/>
    <col min="4102" max="4102" width="23.7109375" style="440" customWidth="1"/>
    <col min="4103" max="4103" width="30.7109375" style="440" bestFit="1" customWidth="1"/>
    <col min="4104" max="4104" width="24.140625" style="440" customWidth="1"/>
    <col min="4105" max="4105" width="30.42578125" style="440" customWidth="1"/>
    <col min="4106" max="4107" width="29" style="440" customWidth="1"/>
    <col min="4108" max="4108" width="22.7109375" style="440" customWidth="1"/>
    <col min="4109" max="4110" width="11.42578125" style="440"/>
    <col min="4111" max="4111" width="16.42578125" style="440" customWidth="1"/>
    <col min="4112" max="4352" width="11.42578125" style="440"/>
    <col min="4353" max="4353" width="37.28515625" style="440" customWidth="1"/>
    <col min="4354" max="4354" width="39.42578125" style="440" customWidth="1"/>
    <col min="4355" max="4355" width="35.140625" style="440" customWidth="1"/>
    <col min="4356" max="4356" width="28" style="440" customWidth="1"/>
    <col min="4357" max="4357" width="26.7109375" style="440" customWidth="1"/>
    <col min="4358" max="4358" width="23.7109375" style="440" customWidth="1"/>
    <col min="4359" max="4359" width="30.7109375" style="440" bestFit="1" customWidth="1"/>
    <col min="4360" max="4360" width="24.140625" style="440" customWidth="1"/>
    <col min="4361" max="4361" width="30.42578125" style="440" customWidth="1"/>
    <col min="4362" max="4363" width="29" style="440" customWidth="1"/>
    <col min="4364" max="4364" width="22.7109375" style="440" customWidth="1"/>
    <col min="4365" max="4366" width="11.42578125" style="440"/>
    <col min="4367" max="4367" width="16.42578125" style="440" customWidth="1"/>
    <col min="4368" max="4608" width="11.42578125" style="440"/>
    <col min="4609" max="4609" width="37.28515625" style="440" customWidth="1"/>
    <col min="4610" max="4610" width="39.42578125" style="440" customWidth="1"/>
    <col min="4611" max="4611" width="35.140625" style="440" customWidth="1"/>
    <col min="4612" max="4612" width="28" style="440" customWidth="1"/>
    <col min="4613" max="4613" width="26.7109375" style="440" customWidth="1"/>
    <col min="4614" max="4614" width="23.7109375" style="440" customWidth="1"/>
    <col min="4615" max="4615" width="30.7109375" style="440" bestFit="1" customWidth="1"/>
    <col min="4616" max="4616" width="24.140625" style="440" customWidth="1"/>
    <col min="4617" max="4617" width="30.42578125" style="440" customWidth="1"/>
    <col min="4618" max="4619" width="29" style="440" customWidth="1"/>
    <col min="4620" max="4620" width="22.7109375" style="440" customWidth="1"/>
    <col min="4621" max="4622" width="11.42578125" style="440"/>
    <col min="4623" max="4623" width="16.42578125" style="440" customWidth="1"/>
    <col min="4624" max="4864" width="11.42578125" style="440"/>
    <col min="4865" max="4865" width="37.28515625" style="440" customWidth="1"/>
    <col min="4866" max="4866" width="39.42578125" style="440" customWidth="1"/>
    <col min="4867" max="4867" width="35.140625" style="440" customWidth="1"/>
    <col min="4868" max="4868" width="28" style="440" customWidth="1"/>
    <col min="4869" max="4869" width="26.7109375" style="440" customWidth="1"/>
    <col min="4870" max="4870" width="23.7109375" style="440" customWidth="1"/>
    <col min="4871" max="4871" width="30.7109375" style="440" bestFit="1" customWidth="1"/>
    <col min="4872" max="4872" width="24.140625" style="440" customWidth="1"/>
    <col min="4873" max="4873" width="30.42578125" style="440" customWidth="1"/>
    <col min="4874" max="4875" width="29" style="440" customWidth="1"/>
    <col min="4876" max="4876" width="22.7109375" style="440" customWidth="1"/>
    <col min="4877" max="4878" width="11.42578125" style="440"/>
    <col min="4879" max="4879" width="16.42578125" style="440" customWidth="1"/>
    <col min="4880" max="5120" width="11.42578125" style="440"/>
    <col min="5121" max="5121" width="37.28515625" style="440" customWidth="1"/>
    <col min="5122" max="5122" width="39.42578125" style="440" customWidth="1"/>
    <col min="5123" max="5123" width="35.140625" style="440" customWidth="1"/>
    <col min="5124" max="5124" width="28" style="440" customWidth="1"/>
    <col min="5125" max="5125" width="26.7109375" style="440" customWidth="1"/>
    <col min="5126" max="5126" width="23.7109375" style="440" customWidth="1"/>
    <col min="5127" max="5127" width="30.7109375" style="440" bestFit="1" customWidth="1"/>
    <col min="5128" max="5128" width="24.140625" style="440" customWidth="1"/>
    <col min="5129" max="5129" width="30.42578125" style="440" customWidth="1"/>
    <col min="5130" max="5131" width="29" style="440" customWidth="1"/>
    <col min="5132" max="5132" width="22.7109375" style="440" customWidth="1"/>
    <col min="5133" max="5134" width="11.42578125" style="440"/>
    <col min="5135" max="5135" width="16.42578125" style="440" customWidth="1"/>
    <col min="5136" max="5376" width="11.42578125" style="440"/>
    <col min="5377" max="5377" width="37.28515625" style="440" customWidth="1"/>
    <col min="5378" max="5378" width="39.42578125" style="440" customWidth="1"/>
    <col min="5379" max="5379" width="35.140625" style="440" customWidth="1"/>
    <col min="5380" max="5380" width="28" style="440" customWidth="1"/>
    <col min="5381" max="5381" width="26.7109375" style="440" customWidth="1"/>
    <col min="5382" max="5382" width="23.7109375" style="440" customWidth="1"/>
    <col min="5383" max="5383" width="30.7109375" style="440" bestFit="1" customWidth="1"/>
    <col min="5384" max="5384" width="24.140625" style="440" customWidth="1"/>
    <col min="5385" max="5385" width="30.42578125" style="440" customWidth="1"/>
    <col min="5386" max="5387" width="29" style="440" customWidth="1"/>
    <col min="5388" max="5388" width="22.7109375" style="440" customWidth="1"/>
    <col min="5389" max="5390" width="11.42578125" style="440"/>
    <col min="5391" max="5391" width="16.42578125" style="440" customWidth="1"/>
    <col min="5392" max="5632" width="11.42578125" style="440"/>
    <col min="5633" max="5633" width="37.28515625" style="440" customWidth="1"/>
    <col min="5634" max="5634" width="39.42578125" style="440" customWidth="1"/>
    <col min="5635" max="5635" width="35.140625" style="440" customWidth="1"/>
    <col min="5636" max="5636" width="28" style="440" customWidth="1"/>
    <col min="5637" max="5637" width="26.7109375" style="440" customWidth="1"/>
    <col min="5638" max="5638" width="23.7109375" style="440" customWidth="1"/>
    <col min="5639" max="5639" width="30.7109375" style="440" bestFit="1" customWidth="1"/>
    <col min="5640" max="5640" width="24.140625" style="440" customWidth="1"/>
    <col min="5641" max="5641" width="30.42578125" style="440" customWidth="1"/>
    <col min="5642" max="5643" width="29" style="440" customWidth="1"/>
    <col min="5644" max="5644" width="22.7109375" style="440" customWidth="1"/>
    <col min="5645" max="5646" width="11.42578125" style="440"/>
    <col min="5647" max="5647" width="16.42578125" style="440" customWidth="1"/>
    <col min="5648" max="5888" width="11.42578125" style="440"/>
    <col min="5889" max="5889" width="37.28515625" style="440" customWidth="1"/>
    <col min="5890" max="5890" width="39.42578125" style="440" customWidth="1"/>
    <col min="5891" max="5891" width="35.140625" style="440" customWidth="1"/>
    <col min="5892" max="5892" width="28" style="440" customWidth="1"/>
    <col min="5893" max="5893" width="26.7109375" style="440" customWidth="1"/>
    <col min="5894" max="5894" width="23.7109375" style="440" customWidth="1"/>
    <col min="5895" max="5895" width="30.7109375" style="440" bestFit="1" customWidth="1"/>
    <col min="5896" max="5896" width="24.140625" style="440" customWidth="1"/>
    <col min="5897" max="5897" width="30.42578125" style="440" customWidth="1"/>
    <col min="5898" max="5899" width="29" style="440" customWidth="1"/>
    <col min="5900" max="5900" width="22.7109375" style="440" customWidth="1"/>
    <col min="5901" max="5902" width="11.42578125" style="440"/>
    <col min="5903" max="5903" width="16.42578125" style="440" customWidth="1"/>
    <col min="5904" max="6144" width="11.42578125" style="440"/>
    <col min="6145" max="6145" width="37.28515625" style="440" customWidth="1"/>
    <col min="6146" max="6146" width="39.42578125" style="440" customWidth="1"/>
    <col min="6147" max="6147" width="35.140625" style="440" customWidth="1"/>
    <col min="6148" max="6148" width="28" style="440" customWidth="1"/>
    <col min="6149" max="6149" width="26.7109375" style="440" customWidth="1"/>
    <col min="6150" max="6150" width="23.7109375" style="440" customWidth="1"/>
    <col min="6151" max="6151" width="30.7109375" style="440" bestFit="1" customWidth="1"/>
    <col min="6152" max="6152" width="24.140625" style="440" customWidth="1"/>
    <col min="6153" max="6153" width="30.42578125" style="440" customWidth="1"/>
    <col min="6154" max="6155" width="29" style="440" customWidth="1"/>
    <col min="6156" max="6156" width="22.7109375" style="440" customWidth="1"/>
    <col min="6157" max="6158" width="11.42578125" style="440"/>
    <col min="6159" max="6159" width="16.42578125" style="440" customWidth="1"/>
    <col min="6160" max="6400" width="11.42578125" style="440"/>
    <col min="6401" max="6401" width="37.28515625" style="440" customWidth="1"/>
    <col min="6402" max="6402" width="39.42578125" style="440" customWidth="1"/>
    <col min="6403" max="6403" width="35.140625" style="440" customWidth="1"/>
    <col min="6404" max="6404" width="28" style="440" customWidth="1"/>
    <col min="6405" max="6405" width="26.7109375" style="440" customWidth="1"/>
    <col min="6406" max="6406" width="23.7109375" style="440" customWidth="1"/>
    <col min="6407" max="6407" width="30.7109375" style="440" bestFit="1" customWidth="1"/>
    <col min="6408" max="6408" width="24.140625" style="440" customWidth="1"/>
    <col min="6409" max="6409" width="30.42578125" style="440" customWidth="1"/>
    <col min="6410" max="6411" width="29" style="440" customWidth="1"/>
    <col min="6412" max="6412" width="22.7109375" style="440" customWidth="1"/>
    <col min="6413" max="6414" width="11.42578125" style="440"/>
    <col min="6415" max="6415" width="16.42578125" style="440" customWidth="1"/>
    <col min="6416" max="6656" width="11.42578125" style="440"/>
    <col min="6657" max="6657" width="37.28515625" style="440" customWidth="1"/>
    <col min="6658" max="6658" width="39.42578125" style="440" customWidth="1"/>
    <col min="6659" max="6659" width="35.140625" style="440" customWidth="1"/>
    <col min="6660" max="6660" width="28" style="440" customWidth="1"/>
    <col min="6661" max="6661" width="26.7109375" style="440" customWidth="1"/>
    <col min="6662" max="6662" width="23.7109375" style="440" customWidth="1"/>
    <col min="6663" max="6663" width="30.7109375" style="440" bestFit="1" customWidth="1"/>
    <col min="6664" max="6664" width="24.140625" style="440" customWidth="1"/>
    <col min="6665" max="6665" width="30.42578125" style="440" customWidth="1"/>
    <col min="6666" max="6667" width="29" style="440" customWidth="1"/>
    <col min="6668" max="6668" width="22.7109375" style="440" customWidth="1"/>
    <col min="6669" max="6670" width="11.42578125" style="440"/>
    <col min="6671" max="6671" width="16.42578125" style="440" customWidth="1"/>
    <col min="6672" max="6912" width="11.42578125" style="440"/>
    <col min="6913" max="6913" width="37.28515625" style="440" customWidth="1"/>
    <col min="6914" max="6914" width="39.42578125" style="440" customWidth="1"/>
    <col min="6915" max="6915" width="35.140625" style="440" customWidth="1"/>
    <col min="6916" max="6916" width="28" style="440" customWidth="1"/>
    <col min="6917" max="6917" width="26.7109375" style="440" customWidth="1"/>
    <col min="6918" max="6918" width="23.7109375" style="440" customWidth="1"/>
    <col min="6919" max="6919" width="30.7109375" style="440" bestFit="1" customWidth="1"/>
    <col min="6920" max="6920" width="24.140625" style="440" customWidth="1"/>
    <col min="6921" max="6921" width="30.42578125" style="440" customWidth="1"/>
    <col min="6922" max="6923" width="29" style="440" customWidth="1"/>
    <col min="6924" max="6924" width="22.7109375" style="440" customWidth="1"/>
    <col min="6925" max="6926" width="11.42578125" style="440"/>
    <col min="6927" max="6927" width="16.42578125" style="440" customWidth="1"/>
    <col min="6928" max="7168" width="11.42578125" style="440"/>
    <col min="7169" max="7169" width="37.28515625" style="440" customWidth="1"/>
    <col min="7170" max="7170" width="39.42578125" style="440" customWidth="1"/>
    <col min="7171" max="7171" width="35.140625" style="440" customWidth="1"/>
    <col min="7172" max="7172" width="28" style="440" customWidth="1"/>
    <col min="7173" max="7173" width="26.7109375" style="440" customWidth="1"/>
    <col min="7174" max="7174" width="23.7109375" style="440" customWidth="1"/>
    <col min="7175" max="7175" width="30.7109375" style="440" bestFit="1" customWidth="1"/>
    <col min="7176" max="7176" width="24.140625" style="440" customWidth="1"/>
    <col min="7177" max="7177" width="30.42578125" style="440" customWidth="1"/>
    <col min="7178" max="7179" width="29" style="440" customWidth="1"/>
    <col min="7180" max="7180" width="22.7109375" style="440" customWidth="1"/>
    <col min="7181" max="7182" width="11.42578125" style="440"/>
    <col min="7183" max="7183" width="16.42578125" style="440" customWidth="1"/>
    <col min="7184" max="7424" width="11.42578125" style="440"/>
    <col min="7425" max="7425" width="37.28515625" style="440" customWidth="1"/>
    <col min="7426" max="7426" width="39.42578125" style="440" customWidth="1"/>
    <col min="7427" max="7427" width="35.140625" style="440" customWidth="1"/>
    <col min="7428" max="7428" width="28" style="440" customWidth="1"/>
    <col min="7429" max="7429" width="26.7109375" style="440" customWidth="1"/>
    <col min="7430" max="7430" width="23.7109375" style="440" customWidth="1"/>
    <col min="7431" max="7431" width="30.7109375" style="440" bestFit="1" customWidth="1"/>
    <col min="7432" max="7432" width="24.140625" style="440" customWidth="1"/>
    <col min="7433" max="7433" width="30.42578125" style="440" customWidth="1"/>
    <col min="7434" max="7435" width="29" style="440" customWidth="1"/>
    <col min="7436" max="7436" width="22.7109375" style="440" customWidth="1"/>
    <col min="7437" max="7438" width="11.42578125" style="440"/>
    <col min="7439" max="7439" width="16.42578125" style="440" customWidth="1"/>
    <col min="7440" max="7680" width="11.42578125" style="440"/>
    <col min="7681" max="7681" width="37.28515625" style="440" customWidth="1"/>
    <col min="7682" max="7682" width="39.42578125" style="440" customWidth="1"/>
    <col min="7683" max="7683" width="35.140625" style="440" customWidth="1"/>
    <col min="7684" max="7684" width="28" style="440" customWidth="1"/>
    <col min="7685" max="7685" width="26.7109375" style="440" customWidth="1"/>
    <col min="7686" max="7686" width="23.7109375" style="440" customWidth="1"/>
    <col min="7687" max="7687" width="30.7109375" style="440" bestFit="1" customWidth="1"/>
    <col min="7688" max="7688" width="24.140625" style="440" customWidth="1"/>
    <col min="7689" max="7689" width="30.42578125" style="440" customWidth="1"/>
    <col min="7690" max="7691" width="29" style="440" customWidth="1"/>
    <col min="7692" max="7692" width="22.7109375" style="440" customWidth="1"/>
    <col min="7693" max="7694" width="11.42578125" style="440"/>
    <col min="7695" max="7695" width="16.42578125" style="440" customWidth="1"/>
    <col min="7696" max="7936" width="11.42578125" style="440"/>
    <col min="7937" max="7937" width="37.28515625" style="440" customWidth="1"/>
    <col min="7938" max="7938" width="39.42578125" style="440" customWidth="1"/>
    <col min="7939" max="7939" width="35.140625" style="440" customWidth="1"/>
    <col min="7940" max="7940" width="28" style="440" customWidth="1"/>
    <col min="7941" max="7941" width="26.7109375" style="440" customWidth="1"/>
    <col min="7942" max="7942" width="23.7109375" style="440" customWidth="1"/>
    <col min="7943" max="7943" width="30.7109375" style="440" bestFit="1" customWidth="1"/>
    <col min="7944" max="7944" width="24.140625" style="440" customWidth="1"/>
    <col min="7945" max="7945" width="30.42578125" style="440" customWidth="1"/>
    <col min="7946" max="7947" width="29" style="440" customWidth="1"/>
    <col min="7948" max="7948" width="22.7109375" style="440" customWidth="1"/>
    <col min="7949" max="7950" width="11.42578125" style="440"/>
    <col min="7951" max="7951" width="16.42578125" style="440" customWidth="1"/>
    <col min="7952" max="8192" width="11.42578125" style="440"/>
    <col min="8193" max="8193" width="37.28515625" style="440" customWidth="1"/>
    <col min="8194" max="8194" width="39.42578125" style="440" customWidth="1"/>
    <col min="8195" max="8195" width="35.140625" style="440" customWidth="1"/>
    <col min="8196" max="8196" width="28" style="440" customWidth="1"/>
    <col min="8197" max="8197" width="26.7109375" style="440" customWidth="1"/>
    <col min="8198" max="8198" width="23.7109375" style="440" customWidth="1"/>
    <col min="8199" max="8199" width="30.7109375" style="440" bestFit="1" customWidth="1"/>
    <col min="8200" max="8200" width="24.140625" style="440" customWidth="1"/>
    <col min="8201" max="8201" width="30.42578125" style="440" customWidth="1"/>
    <col min="8202" max="8203" width="29" style="440" customWidth="1"/>
    <col min="8204" max="8204" width="22.7109375" style="440" customWidth="1"/>
    <col min="8205" max="8206" width="11.42578125" style="440"/>
    <col min="8207" max="8207" width="16.42578125" style="440" customWidth="1"/>
    <col min="8208" max="8448" width="11.42578125" style="440"/>
    <col min="8449" max="8449" width="37.28515625" style="440" customWidth="1"/>
    <col min="8450" max="8450" width="39.42578125" style="440" customWidth="1"/>
    <col min="8451" max="8451" width="35.140625" style="440" customWidth="1"/>
    <col min="8452" max="8452" width="28" style="440" customWidth="1"/>
    <col min="8453" max="8453" width="26.7109375" style="440" customWidth="1"/>
    <col min="8454" max="8454" width="23.7109375" style="440" customWidth="1"/>
    <col min="8455" max="8455" width="30.7109375" style="440" bestFit="1" customWidth="1"/>
    <col min="8456" max="8456" width="24.140625" style="440" customWidth="1"/>
    <col min="8457" max="8457" width="30.42578125" style="440" customWidth="1"/>
    <col min="8458" max="8459" width="29" style="440" customWidth="1"/>
    <col min="8460" max="8460" width="22.7109375" style="440" customWidth="1"/>
    <col min="8461" max="8462" width="11.42578125" style="440"/>
    <col min="8463" max="8463" width="16.42578125" style="440" customWidth="1"/>
    <col min="8464" max="8704" width="11.42578125" style="440"/>
    <col min="8705" max="8705" width="37.28515625" style="440" customWidth="1"/>
    <col min="8706" max="8706" width="39.42578125" style="440" customWidth="1"/>
    <col min="8707" max="8707" width="35.140625" style="440" customWidth="1"/>
    <col min="8708" max="8708" width="28" style="440" customWidth="1"/>
    <col min="8709" max="8709" width="26.7109375" style="440" customWidth="1"/>
    <col min="8710" max="8710" width="23.7109375" style="440" customWidth="1"/>
    <col min="8711" max="8711" width="30.7109375" style="440" bestFit="1" customWidth="1"/>
    <col min="8712" max="8712" width="24.140625" style="440" customWidth="1"/>
    <col min="8713" max="8713" width="30.42578125" style="440" customWidth="1"/>
    <col min="8714" max="8715" width="29" style="440" customWidth="1"/>
    <col min="8716" max="8716" width="22.7109375" style="440" customWidth="1"/>
    <col min="8717" max="8718" width="11.42578125" style="440"/>
    <col min="8719" max="8719" width="16.42578125" style="440" customWidth="1"/>
    <col min="8720" max="8960" width="11.42578125" style="440"/>
    <col min="8961" max="8961" width="37.28515625" style="440" customWidth="1"/>
    <col min="8962" max="8962" width="39.42578125" style="440" customWidth="1"/>
    <col min="8963" max="8963" width="35.140625" style="440" customWidth="1"/>
    <col min="8964" max="8964" width="28" style="440" customWidth="1"/>
    <col min="8965" max="8965" width="26.7109375" style="440" customWidth="1"/>
    <col min="8966" max="8966" width="23.7109375" style="440" customWidth="1"/>
    <col min="8967" max="8967" width="30.7109375" style="440" bestFit="1" customWidth="1"/>
    <col min="8968" max="8968" width="24.140625" style="440" customWidth="1"/>
    <col min="8969" max="8969" width="30.42578125" style="440" customWidth="1"/>
    <col min="8970" max="8971" width="29" style="440" customWidth="1"/>
    <col min="8972" max="8972" width="22.7109375" style="440" customWidth="1"/>
    <col min="8973" max="8974" width="11.42578125" style="440"/>
    <col min="8975" max="8975" width="16.42578125" style="440" customWidth="1"/>
    <col min="8976" max="9216" width="11.42578125" style="440"/>
    <col min="9217" max="9217" width="37.28515625" style="440" customWidth="1"/>
    <col min="9218" max="9218" width="39.42578125" style="440" customWidth="1"/>
    <col min="9219" max="9219" width="35.140625" style="440" customWidth="1"/>
    <col min="9220" max="9220" width="28" style="440" customWidth="1"/>
    <col min="9221" max="9221" width="26.7109375" style="440" customWidth="1"/>
    <col min="9222" max="9222" width="23.7109375" style="440" customWidth="1"/>
    <col min="9223" max="9223" width="30.7109375" style="440" bestFit="1" customWidth="1"/>
    <col min="9224" max="9224" width="24.140625" style="440" customWidth="1"/>
    <col min="9225" max="9225" width="30.42578125" style="440" customWidth="1"/>
    <col min="9226" max="9227" width="29" style="440" customWidth="1"/>
    <col min="9228" max="9228" width="22.7109375" style="440" customWidth="1"/>
    <col min="9229" max="9230" width="11.42578125" style="440"/>
    <col min="9231" max="9231" width="16.42578125" style="440" customWidth="1"/>
    <col min="9232" max="9472" width="11.42578125" style="440"/>
    <col min="9473" max="9473" width="37.28515625" style="440" customWidth="1"/>
    <col min="9474" max="9474" width="39.42578125" style="440" customWidth="1"/>
    <col min="9475" max="9475" width="35.140625" style="440" customWidth="1"/>
    <col min="9476" max="9476" width="28" style="440" customWidth="1"/>
    <col min="9477" max="9477" width="26.7109375" style="440" customWidth="1"/>
    <col min="9478" max="9478" width="23.7109375" style="440" customWidth="1"/>
    <col min="9479" max="9479" width="30.7109375" style="440" bestFit="1" customWidth="1"/>
    <col min="9480" max="9480" width="24.140625" style="440" customWidth="1"/>
    <col min="9481" max="9481" width="30.42578125" style="440" customWidth="1"/>
    <col min="9482" max="9483" width="29" style="440" customWidth="1"/>
    <col min="9484" max="9484" width="22.7109375" style="440" customWidth="1"/>
    <col min="9485" max="9486" width="11.42578125" style="440"/>
    <col min="9487" max="9487" width="16.42578125" style="440" customWidth="1"/>
    <col min="9488" max="9728" width="11.42578125" style="440"/>
    <col min="9729" max="9729" width="37.28515625" style="440" customWidth="1"/>
    <col min="9730" max="9730" width="39.42578125" style="440" customWidth="1"/>
    <col min="9731" max="9731" width="35.140625" style="440" customWidth="1"/>
    <col min="9732" max="9732" width="28" style="440" customWidth="1"/>
    <col min="9733" max="9733" width="26.7109375" style="440" customWidth="1"/>
    <col min="9734" max="9734" width="23.7109375" style="440" customWidth="1"/>
    <col min="9735" max="9735" width="30.7109375" style="440" bestFit="1" customWidth="1"/>
    <col min="9736" max="9736" width="24.140625" style="440" customWidth="1"/>
    <col min="9737" max="9737" width="30.42578125" style="440" customWidth="1"/>
    <col min="9738" max="9739" width="29" style="440" customWidth="1"/>
    <col min="9740" max="9740" width="22.7109375" style="440" customWidth="1"/>
    <col min="9741" max="9742" width="11.42578125" style="440"/>
    <col min="9743" max="9743" width="16.42578125" style="440" customWidth="1"/>
    <col min="9744" max="9984" width="11.42578125" style="440"/>
    <col min="9985" max="9985" width="37.28515625" style="440" customWidth="1"/>
    <col min="9986" max="9986" width="39.42578125" style="440" customWidth="1"/>
    <col min="9987" max="9987" width="35.140625" style="440" customWidth="1"/>
    <col min="9988" max="9988" width="28" style="440" customWidth="1"/>
    <col min="9989" max="9989" width="26.7109375" style="440" customWidth="1"/>
    <col min="9990" max="9990" width="23.7109375" style="440" customWidth="1"/>
    <col min="9991" max="9991" width="30.7109375" style="440" bestFit="1" customWidth="1"/>
    <col min="9992" max="9992" width="24.140625" style="440" customWidth="1"/>
    <col min="9993" max="9993" width="30.42578125" style="440" customWidth="1"/>
    <col min="9994" max="9995" width="29" style="440" customWidth="1"/>
    <col min="9996" max="9996" width="22.7109375" style="440" customWidth="1"/>
    <col min="9997" max="9998" width="11.42578125" style="440"/>
    <col min="9999" max="9999" width="16.42578125" style="440" customWidth="1"/>
    <col min="10000" max="10240" width="11.42578125" style="440"/>
    <col min="10241" max="10241" width="37.28515625" style="440" customWidth="1"/>
    <col min="10242" max="10242" width="39.42578125" style="440" customWidth="1"/>
    <col min="10243" max="10243" width="35.140625" style="440" customWidth="1"/>
    <col min="10244" max="10244" width="28" style="440" customWidth="1"/>
    <col min="10245" max="10245" width="26.7109375" style="440" customWidth="1"/>
    <col min="10246" max="10246" width="23.7109375" style="440" customWidth="1"/>
    <col min="10247" max="10247" width="30.7109375" style="440" bestFit="1" customWidth="1"/>
    <col min="10248" max="10248" width="24.140625" style="440" customWidth="1"/>
    <col min="10249" max="10249" width="30.42578125" style="440" customWidth="1"/>
    <col min="10250" max="10251" width="29" style="440" customWidth="1"/>
    <col min="10252" max="10252" width="22.7109375" style="440" customWidth="1"/>
    <col min="10253" max="10254" width="11.42578125" style="440"/>
    <col min="10255" max="10255" width="16.42578125" style="440" customWidth="1"/>
    <col min="10256" max="10496" width="11.42578125" style="440"/>
    <col min="10497" max="10497" width="37.28515625" style="440" customWidth="1"/>
    <col min="10498" max="10498" width="39.42578125" style="440" customWidth="1"/>
    <col min="10499" max="10499" width="35.140625" style="440" customWidth="1"/>
    <col min="10500" max="10500" width="28" style="440" customWidth="1"/>
    <col min="10501" max="10501" width="26.7109375" style="440" customWidth="1"/>
    <col min="10502" max="10502" width="23.7109375" style="440" customWidth="1"/>
    <col min="10503" max="10503" width="30.7109375" style="440" bestFit="1" customWidth="1"/>
    <col min="10504" max="10504" width="24.140625" style="440" customWidth="1"/>
    <col min="10505" max="10505" width="30.42578125" style="440" customWidth="1"/>
    <col min="10506" max="10507" width="29" style="440" customWidth="1"/>
    <col min="10508" max="10508" width="22.7109375" style="440" customWidth="1"/>
    <col min="10509" max="10510" width="11.42578125" style="440"/>
    <col min="10511" max="10511" width="16.42578125" style="440" customWidth="1"/>
    <col min="10512" max="10752" width="11.42578125" style="440"/>
    <col min="10753" max="10753" width="37.28515625" style="440" customWidth="1"/>
    <col min="10754" max="10754" width="39.42578125" style="440" customWidth="1"/>
    <col min="10755" max="10755" width="35.140625" style="440" customWidth="1"/>
    <col min="10756" max="10756" width="28" style="440" customWidth="1"/>
    <col min="10757" max="10757" width="26.7109375" style="440" customWidth="1"/>
    <col min="10758" max="10758" width="23.7109375" style="440" customWidth="1"/>
    <col min="10759" max="10759" width="30.7109375" style="440" bestFit="1" customWidth="1"/>
    <col min="10760" max="10760" width="24.140625" style="440" customWidth="1"/>
    <col min="10761" max="10761" width="30.42578125" style="440" customWidth="1"/>
    <col min="10762" max="10763" width="29" style="440" customWidth="1"/>
    <col min="10764" max="10764" width="22.7109375" style="440" customWidth="1"/>
    <col min="10765" max="10766" width="11.42578125" style="440"/>
    <col min="10767" max="10767" width="16.42578125" style="440" customWidth="1"/>
    <col min="10768" max="11008" width="11.42578125" style="440"/>
    <col min="11009" max="11009" width="37.28515625" style="440" customWidth="1"/>
    <col min="11010" max="11010" width="39.42578125" style="440" customWidth="1"/>
    <col min="11011" max="11011" width="35.140625" style="440" customWidth="1"/>
    <col min="11012" max="11012" width="28" style="440" customWidth="1"/>
    <col min="11013" max="11013" width="26.7109375" style="440" customWidth="1"/>
    <col min="11014" max="11014" width="23.7109375" style="440" customWidth="1"/>
    <col min="11015" max="11015" width="30.7109375" style="440" bestFit="1" customWidth="1"/>
    <col min="11016" max="11016" width="24.140625" style="440" customWidth="1"/>
    <col min="11017" max="11017" width="30.42578125" style="440" customWidth="1"/>
    <col min="11018" max="11019" width="29" style="440" customWidth="1"/>
    <col min="11020" max="11020" width="22.7109375" style="440" customWidth="1"/>
    <col min="11021" max="11022" width="11.42578125" style="440"/>
    <col min="11023" max="11023" width="16.42578125" style="440" customWidth="1"/>
    <col min="11024" max="11264" width="11.42578125" style="440"/>
    <col min="11265" max="11265" width="37.28515625" style="440" customWidth="1"/>
    <col min="11266" max="11266" width="39.42578125" style="440" customWidth="1"/>
    <col min="11267" max="11267" width="35.140625" style="440" customWidth="1"/>
    <col min="11268" max="11268" width="28" style="440" customWidth="1"/>
    <col min="11269" max="11269" width="26.7109375" style="440" customWidth="1"/>
    <col min="11270" max="11270" width="23.7109375" style="440" customWidth="1"/>
    <col min="11271" max="11271" width="30.7109375" style="440" bestFit="1" customWidth="1"/>
    <col min="11272" max="11272" width="24.140625" style="440" customWidth="1"/>
    <col min="11273" max="11273" width="30.42578125" style="440" customWidth="1"/>
    <col min="11274" max="11275" width="29" style="440" customWidth="1"/>
    <col min="11276" max="11276" width="22.7109375" style="440" customWidth="1"/>
    <col min="11277" max="11278" width="11.42578125" style="440"/>
    <col min="11279" max="11279" width="16.42578125" style="440" customWidth="1"/>
    <col min="11280" max="11520" width="11.42578125" style="440"/>
    <col min="11521" max="11521" width="37.28515625" style="440" customWidth="1"/>
    <col min="11522" max="11522" width="39.42578125" style="440" customWidth="1"/>
    <col min="11523" max="11523" width="35.140625" style="440" customWidth="1"/>
    <col min="11524" max="11524" width="28" style="440" customWidth="1"/>
    <col min="11525" max="11525" width="26.7109375" style="440" customWidth="1"/>
    <col min="11526" max="11526" width="23.7109375" style="440" customWidth="1"/>
    <col min="11527" max="11527" width="30.7109375" style="440" bestFit="1" customWidth="1"/>
    <col min="11528" max="11528" width="24.140625" style="440" customWidth="1"/>
    <col min="11529" max="11529" width="30.42578125" style="440" customWidth="1"/>
    <col min="11530" max="11531" width="29" style="440" customWidth="1"/>
    <col min="11532" max="11532" width="22.7109375" style="440" customWidth="1"/>
    <col min="11533" max="11534" width="11.42578125" style="440"/>
    <col min="11535" max="11535" width="16.42578125" style="440" customWidth="1"/>
    <col min="11536" max="11776" width="11.42578125" style="440"/>
    <col min="11777" max="11777" width="37.28515625" style="440" customWidth="1"/>
    <col min="11778" max="11778" width="39.42578125" style="440" customWidth="1"/>
    <col min="11779" max="11779" width="35.140625" style="440" customWidth="1"/>
    <col min="11780" max="11780" width="28" style="440" customWidth="1"/>
    <col min="11781" max="11781" width="26.7109375" style="440" customWidth="1"/>
    <col min="11782" max="11782" width="23.7109375" style="440" customWidth="1"/>
    <col min="11783" max="11783" width="30.7109375" style="440" bestFit="1" customWidth="1"/>
    <col min="11784" max="11784" width="24.140625" style="440" customWidth="1"/>
    <col min="11785" max="11785" width="30.42578125" style="440" customWidth="1"/>
    <col min="11786" max="11787" width="29" style="440" customWidth="1"/>
    <col min="11788" max="11788" width="22.7109375" style="440" customWidth="1"/>
    <col min="11789" max="11790" width="11.42578125" style="440"/>
    <col min="11791" max="11791" width="16.42578125" style="440" customWidth="1"/>
    <col min="11792" max="12032" width="11.42578125" style="440"/>
    <col min="12033" max="12033" width="37.28515625" style="440" customWidth="1"/>
    <col min="12034" max="12034" width="39.42578125" style="440" customWidth="1"/>
    <col min="12035" max="12035" width="35.140625" style="440" customWidth="1"/>
    <col min="12036" max="12036" width="28" style="440" customWidth="1"/>
    <col min="12037" max="12037" width="26.7109375" style="440" customWidth="1"/>
    <col min="12038" max="12038" width="23.7109375" style="440" customWidth="1"/>
    <col min="12039" max="12039" width="30.7109375" style="440" bestFit="1" customWidth="1"/>
    <col min="12040" max="12040" width="24.140625" style="440" customWidth="1"/>
    <col min="12041" max="12041" width="30.42578125" style="440" customWidth="1"/>
    <col min="12042" max="12043" width="29" style="440" customWidth="1"/>
    <col min="12044" max="12044" width="22.7109375" style="440" customWidth="1"/>
    <col min="12045" max="12046" width="11.42578125" style="440"/>
    <col min="12047" max="12047" width="16.42578125" style="440" customWidth="1"/>
    <col min="12048" max="12288" width="11.42578125" style="440"/>
    <col min="12289" max="12289" width="37.28515625" style="440" customWidth="1"/>
    <col min="12290" max="12290" width="39.42578125" style="440" customWidth="1"/>
    <col min="12291" max="12291" width="35.140625" style="440" customWidth="1"/>
    <col min="12292" max="12292" width="28" style="440" customWidth="1"/>
    <col min="12293" max="12293" width="26.7109375" style="440" customWidth="1"/>
    <col min="12294" max="12294" width="23.7109375" style="440" customWidth="1"/>
    <col min="12295" max="12295" width="30.7109375" style="440" bestFit="1" customWidth="1"/>
    <col min="12296" max="12296" width="24.140625" style="440" customWidth="1"/>
    <col min="12297" max="12297" width="30.42578125" style="440" customWidth="1"/>
    <col min="12298" max="12299" width="29" style="440" customWidth="1"/>
    <col min="12300" max="12300" width="22.7109375" style="440" customWidth="1"/>
    <col min="12301" max="12302" width="11.42578125" style="440"/>
    <col min="12303" max="12303" width="16.42578125" style="440" customWidth="1"/>
    <col min="12304" max="12544" width="11.42578125" style="440"/>
    <col min="12545" max="12545" width="37.28515625" style="440" customWidth="1"/>
    <col min="12546" max="12546" width="39.42578125" style="440" customWidth="1"/>
    <col min="12547" max="12547" width="35.140625" style="440" customWidth="1"/>
    <col min="12548" max="12548" width="28" style="440" customWidth="1"/>
    <col min="12549" max="12549" width="26.7109375" style="440" customWidth="1"/>
    <col min="12550" max="12550" width="23.7109375" style="440" customWidth="1"/>
    <col min="12551" max="12551" width="30.7109375" style="440" bestFit="1" customWidth="1"/>
    <col min="12552" max="12552" width="24.140625" style="440" customWidth="1"/>
    <col min="12553" max="12553" width="30.42578125" style="440" customWidth="1"/>
    <col min="12554" max="12555" width="29" style="440" customWidth="1"/>
    <col min="12556" max="12556" width="22.7109375" style="440" customWidth="1"/>
    <col min="12557" max="12558" width="11.42578125" style="440"/>
    <col min="12559" max="12559" width="16.42578125" style="440" customWidth="1"/>
    <col min="12560" max="12800" width="11.42578125" style="440"/>
    <col min="12801" max="12801" width="37.28515625" style="440" customWidth="1"/>
    <col min="12802" max="12802" width="39.42578125" style="440" customWidth="1"/>
    <col min="12803" max="12803" width="35.140625" style="440" customWidth="1"/>
    <col min="12804" max="12804" width="28" style="440" customWidth="1"/>
    <col min="12805" max="12805" width="26.7109375" style="440" customWidth="1"/>
    <col min="12806" max="12806" width="23.7109375" style="440" customWidth="1"/>
    <col min="12807" max="12807" width="30.7109375" style="440" bestFit="1" customWidth="1"/>
    <col min="12808" max="12808" width="24.140625" style="440" customWidth="1"/>
    <col min="12809" max="12809" width="30.42578125" style="440" customWidth="1"/>
    <col min="12810" max="12811" width="29" style="440" customWidth="1"/>
    <col min="12812" max="12812" width="22.7109375" style="440" customWidth="1"/>
    <col min="12813" max="12814" width="11.42578125" style="440"/>
    <col min="12815" max="12815" width="16.42578125" style="440" customWidth="1"/>
    <col min="12816" max="13056" width="11.42578125" style="440"/>
    <col min="13057" max="13057" width="37.28515625" style="440" customWidth="1"/>
    <col min="13058" max="13058" width="39.42578125" style="440" customWidth="1"/>
    <col min="13059" max="13059" width="35.140625" style="440" customWidth="1"/>
    <col min="13060" max="13060" width="28" style="440" customWidth="1"/>
    <col min="13061" max="13061" width="26.7109375" style="440" customWidth="1"/>
    <col min="13062" max="13062" width="23.7109375" style="440" customWidth="1"/>
    <col min="13063" max="13063" width="30.7109375" style="440" bestFit="1" customWidth="1"/>
    <col min="13064" max="13064" width="24.140625" style="440" customWidth="1"/>
    <col min="13065" max="13065" width="30.42578125" style="440" customWidth="1"/>
    <col min="13066" max="13067" width="29" style="440" customWidth="1"/>
    <col min="13068" max="13068" width="22.7109375" style="440" customWidth="1"/>
    <col min="13069" max="13070" width="11.42578125" style="440"/>
    <col min="13071" max="13071" width="16.42578125" style="440" customWidth="1"/>
    <col min="13072" max="13312" width="11.42578125" style="440"/>
    <col min="13313" max="13313" width="37.28515625" style="440" customWidth="1"/>
    <col min="13314" max="13314" width="39.42578125" style="440" customWidth="1"/>
    <col min="13315" max="13315" width="35.140625" style="440" customWidth="1"/>
    <col min="13316" max="13316" width="28" style="440" customWidth="1"/>
    <col min="13317" max="13317" width="26.7109375" style="440" customWidth="1"/>
    <col min="13318" max="13318" width="23.7109375" style="440" customWidth="1"/>
    <col min="13319" max="13319" width="30.7109375" style="440" bestFit="1" customWidth="1"/>
    <col min="13320" max="13320" width="24.140625" style="440" customWidth="1"/>
    <col min="13321" max="13321" width="30.42578125" style="440" customWidth="1"/>
    <col min="13322" max="13323" width="29" style="440" customWidth="1"/>
    <col min="13324" max="13324" width="22.7109375" style="440" customWidth="1"/>
    <col min="13325" max="13326" width="11.42578125" style="440"/>
    <col min="13327" max="13327" width="16.42578125" style="440" customWidth="1"/>
    <col min="13328" max="13568" width="11.42578125" style="440"/>
    <col min="13569" max="13569" width="37.28515625" style="440" customWidth="1"/>
    <col min="13570" max="13570" width="39.42578125" style="440" customWidth="1"/>
    <col min="13571" max="13571" width="35.140625" style="440" customWidth="1"/>
    <col min="13572" max="13572" width="28" style="440" customWidth="1"/>
    <col min="13573" max="13573" width="26.7109375" style="440" customWidth="1"/>
    <col min="13574" max="13574" width="23.7109375" style="440" customWidth="1"/>
    <col min="13575" max="13575" width="30.7109375" style="440" bestFit="1" customWidth="1"/>
    <col min="13576" max="13576" width="24.140625" style="440" customWidth="1"/>
    <col min="13577" max="13577" width="30.42578125" style="440" customWidth="1"/>
    <col min="13578" max="13579" width="29" style="440" customWidth="1"/>
    <col min="13580" max="13580" width="22.7109375" style="440" customWidth="1"/>
    <col min="13581" max="13582" width="11.42578125" style="440"/>
    <col min="13583" max="13583" width="16.42578125" style="440" customWidth="1"/>
    <col min="13584" max="13824" width="11.42578125" style="440"/>
    <col min="13825" max="13825" width="37.28515625" style="440" customWidth="1"/>
    <col min="13826" max="13826" width="39.42578125" style="440" customWidth="1"/>
    <col min="13827" max="13827" width="35.140625" style="440" customWidth="1"/>
    <col min="13828" max="13828" width="28" style="440" customWidth="1"/>
    <col min="13829" max="13829" width="26.7109375" style="440" customWidth="1"/>
    <col min="13830" max="13830" width="23.7109375" style="440" customWidth="1"/>
    <col min="13831" max="13831" width="30.7109375" style="440" bestFit="1" customWidth="1"/>
    <col min="13832" max="13832" width="24.140625" style="440" customWidth="1"/>
    <col min="13833" max="13833" width="30.42578125" style="440" customWidth="1"/>
    <col min="13834" max="13835" width="29" style="440" customWidth="1"/>
    <col min="13836" max="13836" width="22.7109375" style="440" customWidth="1"/>
    <col min="13837" max="13838" width="11.42578125" style="440"/>
    <col min="13839" max="13839" width="16.42578125" style="440" customWidth="1"/>
    <col min="13840" max="14080" width="11.42578125" style="440"/>
    <col min="14081" max="14081" width="37.28515625" style="440" customWidth="1"/>
    <col min="14082" max="14082" width="39.42578125" style="440" customWidth="1"/>
    <col min="14083" max="14083" width="35.140625" style="440" customWidth="1"/>
    <col min="14084" max="14084" width="28" style="440" customWidth="1"/>
    <col min="14085" max="14085" width="26.7109375" style="440" customWidth="1"/>
    <col min="14086" max="14086" width="23.7109375" style="440" customWidth="1"/>
    <col min="14087" max="14087" width="30.7109375" style="440" bestFit="1" customWidth="1"/>
    <col min="14088" max="14088" width="24.140625" style="440" customWidth="1"/>
    <col min="14089" max="14089" width="30.42578125" style="440" customWidth="1"/>
    <col min="14090" max="14091" width="29" style="440" customWidth="1"/>
    <col min="14092" max="14092" width="22.7109375" style="440" customWidth="1"/>
    <col min="14093" max="14094" width="11.42578125" style="440"/>
    <col min="14095" max="14095" width="16.42578125" style="440" customWidth="1"/>
    <col min="14096" max="14336" width="11.42578125" style="440"/>
    <col min="14337" max="14337" width="37.28515625" style="440" customWidth="1"/>
    <col min="14338" max="14338" width="39.42578125" style="440" customWidth="1"/>
    <col min="14339" max="14339" width="35.140625" style="440" customWidth="1"/>
    <col min="14340" max="14340" width="28" style="440" customWidth="1"/>
    <col min="14341" max="14341" width="26.7109375" style="440" customWidth="1"/>
    <col min="14342" max="14342" width="23.7109375" style="440" customWidth="1"/>
    <col min="14343" max="14343" width="30.7109375" style="440" bestFit="1" customWidth="1"/>
    <col min="14344" max="14344" width="24.140625" style="440" customWidth="1"/>
    <col min="14345" max="14345" width="30.42578125" style="440" customWidth="1"/>
    <col min="14346" max="14347" width="29" style="440" customWidth="1"/>
    <col min="14348" max="14348" width="22.7109375" style="440" customWidth="1"/>
    <col min="14349" max="14350" width="11.42578125" style="440"/>
    <col min="14351" max="14351" width="16.42578125" style="440" customWidth="1"/>
    <col min="14352" max="14592" width="11.42578125" style="440"/>
    <col min="14593" max="14593" width="37.28515625" style="440" customWidth="1"/>
    <col min="14594" max="14594" width="39.42578125" style="440" customWidth="1"/>
    <col min="14595" max="14595" width="35.140625" style="440" customWidth="1"/>
    <col min="14596" max="14596" width="28" style="440" customWidth="1"/>
    <col min="14597" max="14597" width="26.7109375" style="440" customWidth="1"/>
    <col min="14598" max="14598" width="23.7109375" style="440" customWidth="1"/>
    <col min="14599" max="14599" width="30.7109375" style="440" bestFit="1" customWidth="1"/>
    <col min="14600" max="14600" width="24.140625" style="440" customWidth="1"/>
    <col min="14601" max="14601" width="30.42578125" style="440" customWidth="1"/>
    <col min="14602" max="14603" width="29" style="440" customWidth="1"/>
    <col min="14604" max="14604" width="22.7109375" style="440" customWidth="1"/>
    <col min="14605" max="14606" width="11.42578125" style="440"/>
    <col min="14607" max="14607" width="16.42578125" style="440" customWidth="1"/>
    <col min="14608" max="14848" width="11.42578125" style="440"/>
    <col min="14849" max="14849" width="37.28515625" style="440" customWidth="1"/>
    <col min="14850" max="14850" width="39.42578125" style="440" customWidth="1"/>
    <col min="14851" max="14851" width="35.140625" style="440" customWidth="1"/>
    <col min="14852" max="14852" width="28" style="440" customWidth="1"/>
    <col min="14853" max="14853" width="26.7109375" style="440" customWidth="1"/>
    <col min="14854" max="14854" width="23.7109375" style="440" customWidth="1"/>
    <col min="14855" max="14855" width="30.7109375" style="440" bestFit="1" customWidth="1"/>
    <col min="14856" max="14856" width="24.140625" style="440" customWidth="1"/>
    <col min="14857" max="14857" width="30.42578125" style="440" customWidth="1"/>
    <col min="14858" max="14859" width="29" style="440" customWidth="1"/>
    <col min="14860" max="14860" width="22.7109375" style="440" customWidth="1"/>
    <col min="14861" max="14862" width="11.42578125" style="440"/>
    <col min="14863" max="14863" width="16.42578125" style="440" customWidth="1"/>
    <col min="14864" max="15104" width="11.42578125" style="440"/>
    <col min="15105" max="15105" width="37.28515625" style="440" customWidth="1"/>
    <col min="15106" max="15106" width="39.42578125" style="440" customWidth="1"/>
    <col min="15107" max="15107" width="35.140625" style="440" customWidth="1"/>
    <col min="15108" max="15108" width="28" style="440" customWidth="1"/>
    <col min="15109" max="15109" width="26.7109375" style="440" customWidth="1"/>
    <col min="15110" max="15110" width="23.7109375" style="440" customWidth="1"/>
    <col min="15111" max="15111" width="30.7109375" style="440" bestFit="1" customWidth="1"/>
    <col min="15112" max="15112" width="24.140625" style="440" customWidth="1"/>
    <col min="15113" max="15113" width="30.42578125" style="440" customWidth="1"/>
    <col min="15114" max="15115" width="29" style="440" customWidth="1"/>
    <col min="15116" max="15116" width="22.7109375" style="440" customWidth="1"/>
    <col min="15117" max="15118" width="11.42578125" style="440"/>
    <col min="15119" max="15119" width="16.42578125" style="440" customWidth="1"/>
    <col min="15120" max="15360" width="11.42578125" style="440"/>
    <col min="15361" max="15361" width="37.28515625" style="440" customWidth="1"/>
    <col min="15362" max="15362" width="39.42578125" style="440" customWidth="1"/>
    <col min="15363" max="15363" width="35.140625" style="440" customWidth="1"/>
    <col min="15364" max="15364" width="28" style="440" customWidth="1"/>
    <col min="15365" max="15365" width="26.7109375" style="440" customWidth="1"/>
    <col min="15366" max="15366" width="23.7109375" style="440" customWidth="1"/>
    <col min="15367" max="15367" width="30.7109375" style="440" bestFit="1" customWidth="1"/>
    <col min="15368" max="15368" width="24.140625" style="440" customWidth="1"/>
    <col min="15369" max="15369" width="30.42578125" style="440" customWidth="1"/>
    <col min="15370" max="15371" width="29" style="440" customWidth="1"/>
    <col min="15372" max="15372" width="22.7109375" style="440" customWidth="1"/>
    <col min="15373" max="15374" width="11.42578125" style="440"/>
    <col min="15375" max="15375" width="16.42578125" style="440" customWidth="1"/>
    <col min="15376" max="15616" width="11.42578125" style="440"/>
    <col min="15617" max="15617" width="37.28515625" style="440" customWidth="1"/>
    <col min="15618" max="15618" width="39.42578125" style="440" customWidth="1"/>
    <col min="15619" max="15619" width="35.140625" style="440" customWidth="1"/>
    <col min="15620" max="15620" width="28" style="440" customWidth="1"/>
    <col min="15621" max="15621" width="26.7109375" style="440" customWidth="1"/>
    <col min="15622" max="15622" width="23.7109375" style="440" customWidth="1"/>
    <col min="15623" max="15623" width="30.7109375" style="440" bestFit="1" customWidth="1"/>
    <col min="15624" max="15624" width="24.140625" style="440" customWidth="1"/>
    <col min="15625" max="15625" width="30.42578125" style="440" customWidth="1"/>
    <col min="15626" max="15627" width="29" style="440" customWidth="1"/>
    <col min="15628" max="15628" width="22.7109375" style="440" customWidth="1"/>
    <col min="15629" max="15630" width="11.42578125" style="440"/>
    <col min="15631" max="15631" width="16.42578125" style="440" customWidth="1"/>
    <col min="15632" max="15872" width="11.42578125" style="440"/>
    <col min="15873" max="15873" width="37.28515625" style="440" customWidth="1"/>
    <col min="15874" max="15874" width="39.42578125" style="440" customWidth="1"/>
    <col min="15875" max="15875" width="35.140625" style="440" customWidth="1"/>
    <col min="15876" max="15876" width="28" style="440" customWidth="1"/>
    <col min="15877" max="15877" width="26.7109375" style="440" customWidth="1"/>
    <col min="15878" max="15878" width="23.7109375" style="440" customWidth="1"/>
    <col min="15879" max="15879" width="30.7109375" style="440" bestFit="1" customWidth="1"/>
    <col min="15880" max="15880" width="24.140625" style="440" customWidth="1"/>
    <col min="15881" max="15881" width="30.42578125" style="440" customWidth="1"/>
    <col min="15882" max="15883" width="29" style="440" customWidth="1"/>
    <col min="15884" max="15884" width="22.7109375" style="440" customWidth="1"/>
    <col min="15885" max="15886" width="11.42578125" style="440"/>
    <col min="15887" max="15887" width="16.42578125" style="440" customWidth="1"/>
    <col min="15888" max="16128" width="11.42578125" style="440"/>
    <col min="16129" max="16129" width="37.28515625" style="440" customWidth="1"/>
    <col min="16130" max="16130" width="39.42578125" style="440" customWidth="1"/>
    <col min="16131" max="16131" width="35.140625" style="440" customWidth="1"/>
    <col min="16132" max="16132" width="28" style="440" customWidth="1"/>
    <col min="16133" max="16133" width="26.7109375" style="440" customWidth="1"/>
    <col min="16134" max="16134" width="23.7109375" style="440" customWidth="1"/>
    <col min="16135" max="16135" width="30.7109375" style="440" bestFit="1" customWidth="1"/>
    <col min="16136" max="16136" width="24.140625" style="440" customWidth="1"/>
    <col min="16137" max="16137" width="30.42578125" style="440" customWidth="1"/>
    <col min="16138" max="16139" width="29" style="440" customWidth="1"/>
    <col min="16140" max="16140" width="22.7109375" style="440" customWidth="1"/>
    <col min="16141" max="16142" width="11.42578125" style="440"/>
    <col min="16143" max="16143" width="16.42578125" style="440" customWidth="1"/>
    <col min="16144" max="16384" width="11.42578125" style="440"/>
  </cols>
  <sheetData>
    <row r="1" spans="1:12" ht="47.25" customHeight="1" x14ac:dyDescent="0.25">
      <c r="A1" s="2013"/>
      <c r="B1" s="2073" t="s">
        <v>1693</v>
      </c>
      <c r="C1" s="2073"/>
      <c r="D1" s="2073"/>
      <c r="E1" s="2073"/>
      <c r="F1" s="2073"/>
      <c r="G1" s="2073"/>
      <c r="H1" s="2073"/>
      <c r="I1" s="2073"/>
      <c r="J1" s="2073"/>
      <c r="K1" s="2073"/>
      <c r="L1" s="1093" t="s">
        <v>1690</v>
      </c>
    </row>
    <row r="2" spans="1:12" ht="44.25" customHeight="1" x14ac:dyDescent="0.25">
      <c r="A2" s="2013"/>
      <c r="B2" s="2073"/>
      <c r="C2" s="2073"/>
      <c r="D2" s="2073"/>
      <c r="E2" s="2073"/>
      <c r="F2" s="2073"/>
      <c r="G2" s="2073"/>
      <c r="H2" s="2073"/>
      <c r="I2" s="2073"/>
      <c r="J2" s="2073"/>
      <c r="K2" s="2073"/>
      <c r="L2" s="1094" t="s">
        <v>1936</v>
      </c>
    </row>
    <row r="3" spans="1:12" x14ac:dyDescent="0.25">
      <c r="I3" s="440"/>
    </row>
    <row r="4" spans="1:12" s="1304" customFormat="1" ht="21" customHeight="1" x14ac:dyDescent="0.2">
      <c r="A4" s="441" t="s">
        <v>118</v>
      </c>
      <c r="B4" s="2014" t="str">
        <f>IF(B5="Sistema Intregado de Transporte Público-SITP",'HALLAZGOS OPINIÓN_FIN'!B4:E4,"NO APLICA")</f>
        <v>NO APLICA</v>
      </c>
      <c r="C4" s="2014"/>
      <c r="D4" s="2014"/>
      <c r="E4" s="2014"/>
      <c r="H4" s="1305"/>
    </row>
    <row r="5" spans="1:12" s="1304" customFormat="1" ht="27" customHeight="1" x14ac:dyDescent="0.25">
      <c r="A5" s="441" t="s">
        <v>1</v>
      </c>
      <c r="B5" s="1988" t="str">
        <f>IF(FENECIMIENTO!D5="262 - Empresa de Transporte del Tercer Milenio - Transmilenio S.A. ","Sistema Intregado de Transporte Público-SITP","NO APLICA")</f>
        <v>NO APLICA</v>
      </c>
      <c r="C5" s="1989"/>
      <c r="D5" s="1586" t="s">
        <v>2</v>
      </c>
      <c r="E5" s="1306">
        <f>+FENECIMIENTO!K5</f>
        <v>2024</v>
      </c>
      <c r="H5" s="1305"/>
    </row>
    <row r="6" spans="1:12" s="1304" customFormat="1" x14ac:dyDescent="0.25">
      <c r="A6" s="441" t="s">
        <v>1683</v>
      </c>
      <c r="B6" s="1988">
        <f>+FENECIMIENTO!D6</f>
        <v>2025</v>
      </c>
      <c r="C6" s="1989"/>
      <c r="D6" s="1586" t="s">
        <v>680</v>
      </c>
      <c r="E6" s="1306">
        <f>+FENECIMIENTO!K6</f>
        <v>87</v>
      </c>
      <c r="H6" s="1305"/>
      <c r="I6" s="1305"/>
    </row>
    <row r="7" spans="1:12" x14ac:dyDescent="0.2">
      <c r="B7" s="10"/>
      <c r="C7" s="2017"/>
      <c r="D7" s="2017"/>
      <c r="E7" s="1589"/>
      <c r="F7" s="444"/>
    </row>
    <row r="8" spans="1:12" ht="168.75" customHeight="1" x14ac:dyDescent="0.25">
      <c r="A8" s="2018" t="s">
        <v>885</v>
      </c>
      <c r="B8" s="2018"/>
      <c r="C8" s="2018"/>
      <c r="D8" s="2018"/>
      <c r="E8" s="2018"/>
      <c r="F8" s="2018"/>
      <c r="G8" s="2018"/>
      <c r="H8" s="2018"/>
    </row>
    <row r="9" spans="1:12" ht="15.75" thickBot="1" x14ac:dyDescent="0.25">
      <c r="A9" s="1304"/>
      <c r="B9" s="10"/>
      <c r="C9" s="1307"/>
      <c r="D9" s="1307"/>
      <c r="E9" s="1589"/>
      <c r="F9" s="444"/>
      <c r="G9" s="1304"/>
      <c r="H9" s="1305"/>
    </row>
    <row r="10" spans="1:12" ht="24" thickBot="1" x14ac:dyDescent="0.3">
      <c r="A10" s="2019" t="s">
        <v>886</v>
      </c>
      <c r="B10" s="2020"/>
      <c r="C10" s="2020"/>
      <c r="D10" s="2020"/>
      <c r="E10" s="2021"/>
      <c r="F10" s="2020"/>
      <c r="G10" s="2020"/>
      <c r="H10" s="2022"/>
      <c r="J10" s="442"/>
      <c r="K10" s="442"/>
    </row>
    <row r="11" spans="1:12" ht="47.25" x14ac:dyDescent="0.25">
      <c r="A11" s="1308" t="s">
        <v>887</v>
      </c>
      <c r="B11" s="1308" t="s">
        <v>888</v>
      </c>
      <c r="C11" s="1309" t="s">
        <v>889</v>
      </c>
      <c r="D11" s="1310" t="s">
        <v>649</v>
      </c>
      <c r="E11" s="1311" t="s">
        <v>890</v>
      </c>
      <c r="F11" s="1312"/>
      <c r="G11" s="1313"/>
      <c r="H11" s="1305"/>
      <c r="J11" s="442"/>
      <c r="K11" s="442"/>
    </row>
    <row r="12" spans="1:12" ht="15.75" x14ac:dyDescent="0.25">
      <c r="A12" s="446" t="s">
        <v>891</v>
      </c>
      <c r="B12" s="447">
        <f>C79</f>
        <v>5987542209627</v>
      </c>
      <c r="C12" s="1631">
        <f t="array" ref="C12">SUM(ABS(C24:C78))</f>
        <v>6086876816673</v>
      </c>
      <c r="D12" s="1314">
        <f>D79</f>
        <v>825957257319</v>
      </c>
      <c r="E12" s="919">
        <f>IF(D12=0,"",D12/C12)</f>
        <v>0.13569475483002405</v>
      </c>
      <c r="F12" s="1607"/>
      <c r="G12" s="448"/>
      <c r="I12" s="449"/>
      <c r="J12" s="449"/>
      <c r="K12" s="449"/>
    </row>
    <row r="13" spans="1:12" ht="15.75" x14ac:dyDescent="0.25">
      <c r="A13" s="446" t="s">
        <v>892</v>
      </c>
      <c r="B13" s="447">
        <f>+C122</f>
        <v>5987542209627</v>
      </c>
      <c r="C13" s="1631">
        <f t="array" ref="C13">SUM(ABS(C83:C121))</f>
        <v>5987542209627</v>
      </c>
      <c r="D13" s="1314">
        <f>D122</f>
        <v>324115141833</v>
      </c>
      <c r="E13" s="919">
        <f>IF(D13=0,"",D13/C13)</f>
        <v>5.4131583625727973E-2</v>
      </c>
      <c r="F13" s="1608"/>
      <c r="G13" s="448"/>
      <c r="I13" s="449"/>
      <c r="J13" s="449"/>
      <c r="K13" s="449"/>
    </row>
    <row r="14" spans="1:12" ht="15.75" x14ac:dyDescent="0.25">
      <c r="A14" s="450" t="s">
        <v>893</v>
      </c>
      <c r="B14" s="1627">
        <v>3162888261649</v>
      </c>
      <c r="C14" s="1630"/>
      <c r="D14" s="1629">
        <v>2158726448285</v>
      </c>
      <c r="E14" s="919">
        <f>IF(D14="","",D14/B14)</f>
        <v>0.68251745547265352</v>
      </c>
      <c r="F14" s="445"/>
      <c r="G14" s="448"/>
      <c r="I14" s="449"/>
      <c r="J14" s="449"/>
      <c r="K14" s="449"/>
    </row>
    <row r="15" spans="1:12" ht="15.75" x14ac:dyDescent="0.25">
      <c r="A15" s="446" t="s">
        <v>894</v>
      </c>
      <c r="B15" s="1628">
        <v>1454486780672</v>
      </c>
      <c r="C15" s="1630"/>
      <c r="D15" s="1629">
        <v>363129871098</v>
      </c>
      <c r="E15" s="919">
        <f>IF(D15="","",D15/B15)</f>
        <v>0.24966185731177787</v>
      </c>
      <c r="G15" s="448"/>
      <c r="I15" s="449"/>
      <c r="J15" s="449"/>
      <c r="K15" s="449"/>
    </row>
    <row r="16" spans="1:12" ht="15.75" x14ac:dyDescent="0.25">
      <c r="A16" s="451"/>
      <c r="B16" s="452"/>
      <c r="C16" s="453"/>
      <c r="D16" s="454"/>
      <c r="E16" s="455"/>
      <c r="G16" s="448"/>
      <c r="I16" s="449"/>
      <c r="J16" s="449"/>
      <c r="K16" s="449"/>
    </row>
    <row r="17" spans="1:12" ht="132" customHeight="1" x14ac:dyDescent="0.25">
      <c r="A17" s="2023" t="s">
        <v>895</v>
      </c>
      <c r="B17" s="2023"/>
      <c r="C17" s="2023"/>
      <c r="D17" s="2023"/>
      <c r="E17" s="2023"/>
      <c r="F17" s="2023"/>
      <c r="G17" s="448"/>
      <c r="I17" s="449"/>
      <c r="J17" s="449"/>
      <c r="K17" s="449"/>
    </row>
    <row r="18" spans="1:12" x14ac:dyDescent="0.25">
      <c r="A18" s="456"/>
      <c r="B18" s="457"/>
      <c r="C18" s="457"/>
      <c r="D18" s="458"/>
      <c r="E18" s="458"/>
      <c r="F18" s="458"/>
      <c r="G18" s="458"/>
      <c r="H18" s="449"/>
      <c r="I18" s="449"/>
      <c r="J18" s="449"/>
      <c r="K18" s="449"/>
    </row>
    <row r="19" spans="1:12" ht="38.25" customHeight="1" x14ac:dyDescent="0.25">
      <c r="A19" s="2024" t="s">
        <v>896</v>
      </c>
      <c r="B19" s="2025"/>
      <c r="C19" s="2025"/>
      <c r="D19" s="2025"/>
      <c r="E19" s="2025"/>
      <c r="F19" s="2025"/>
      <c r="G19" s="2025"/>
      <c r="H19" s="2025"/>
      <c r="I19" s="2025"/>
      <c r="J19" s="2025"/>
      <c r="K19" s="2025"/>
      <c r="L19" s="2026"/>
    </row>
    <row r="20" spans="1:12" ht="18.399999999999999" customHeight="1" x14ac:dyDescent="0.25">
      <c r="A20" s="2027" t="s">
        <v>897</v>
      </c>
      <c r="B20" s="2028"/>
      <c r="C20" s="2028"/>
      <c r="D20" s="2028"/>
      <c r="E20" s="2028"/>
      <c r="F20" s="2028"/>
      <c r="G20" s="2028"/>
      <c r="H20" s="2028"/>
      <c r="I20" s="2028"/>
      <c r="J20" s="2028"/>
      <c r="K20" s="2028"/>
      <c r="L20" s="2029"/>
    </row>
    <row r="21" spans="1:12" ht="22.5" customHeight="1" thickBot="1" x14ac:dyDescent="0.3">
      <c r="A21" s="2030" t="s">
        <v>898</v>
      </c>
      <c r="B21" s="2031"/>
      <c r="C21" s="2031"/>
      <c r="D21" s="2031"/>
      <c r="E21" s="2032"/>
      <c r="F21" s="2032"/>
      <c r="G21" s="2032"/>
      <c r="H21" s="459" t="s">
        <v>899</v>
      </c>
      <c r="I21" s="460"/>
      <c r="J21" s="460"/>
      <c r="K21" s="460"/>
      <c r="L21" s="461"/>
    </row>
    <row r="22" spans="1:12" ht="17.25" customHeight="1" thickTop="1" thickBot="1" x14ac:dyDescent="0.3">
      <c r="A22" s="2033" t="s">
        <v>1848</v>
      </c>
      <c r="B22" s="2034"/>
      <c r="C22" s="2034"/>
      <c r="D22" s="2035"/>
      <c r="E22" s="2036" t="s">
        <v>900</v>
      </c>
      <c r="F22" s="2034"/>
      <c r="G22" s="2034"/>
      <c r="H22" s="2034"/>
      <c r="I22" s="2037"/>
      <c r="J22" s="462"/>
      <c r="K22" s="462"/>
      <c r="L22" s="463"/>
    </row>
    <row r="23" spans="1:12" ht="75.75" customHeight="1" thickTop="1" x14ac:dyDescent="0.25">
      <c r="A23" s="464" t="s">
        <v>901</v>
      </c>
      <c r="B23" s="465" t="s">
        <v>902</v>
      </c>
      <c r="C23" s="465" t="s">
        <v>903</v>
      </c>
      <c r="D23" s="465" t="s">
        <v>904</v>
      </c>
      <c r="E23" s="465" t="s">
        <v>905</v>
      </c>
      <c r="F23" s="465" t="s">
        <v>906</v>
      </c>
      <c r="G23" s="466" t="s">
        <v>907</v>
      </c>
      <c r="H23" s="467" t="s">
        <v>908</v>
      </c>
      <c r="I23" s="467" t="s">
        <v>909</v>
      </c>
      <c r="J23" s="467" t="s">
        <v>910</v>
      </c>
      <c r="K23" s="467" t="s">
        <v>911</v>
      </c>
      <c r="L23" s="468" t="s">
        <v>912</v>
      </c>
    </row>
    <row r="24" spans="1:12" ht="20.25" customHeight="1" x14ac:dyDescent="0.25">
      <c r="A24" s="469">
        <v>1105</v>
      </c>
      <c r="B24" s="477" t="s">
        <v>1771</v>
      </c>
      <c r="C24" s="471">
        <v>10000000</v>
      </c>
      <c r="D24" s="471">
        <v>10000000</v>
      </c>
      <c r="E24" s="471"/>
      <c r="F24" s="471"/>
      <c r="G24" s="472">
        <f t="shared" ref="G24:G78" si="0">+E24+F24</f>
        <v>0</v>
      </c>
      <c r="H24" s="473"/>
      <c r="I24" s="474">
        <f t="shared" ref="I24:I78" si="1">G24+H24</f>
        <v>0</v>
      </c>
      <c r="J24" s="475"/>
      <c r="K24" s="475" t="s">
        <v>914</v>
      </c>
      <c r="L24" s="476"/>
    </row>
    <row r="25" spans="1:12" ht="20.25" customHeight="1" x14ac:dyDescent="0.25">
      <c r="A25" s="469">
        <v>1110</v>
      </c>
      <c r="B25" s="477" t="s">
        <v>913</v>
      </c>
      <c r="C25" s="471">
        <v>0</v>
      </c>
      <c r="D25" s="471">
        <v>0</v>
      </c>
      <c r="E25" s="471"/>
      <c r="F25" s="471"/>
      <c r="G25" s="472">
        <f t="shared" si="0"/>
        <v>0</v>
      </c>
      <c r="H25" s="473"/>
      <c r="I25" s="474">
        <f t="shared" si="1"/>
        <v>0</v>
      </c>
      <c r="J25" s="475"/>
      <c r="K25" s="475"/>
      <c r="L25" s="476"/>
    </row>
    <row r="26" spans="1:12" ht="20.25" customHeight="1" x14ac:dyDescent="0.25">
      <c r="A26" s="469">
        <v>1132</v>
      </c>
      <c r="B26" s="477" t="s">
        <v>915</v>
      </c>
      <c r="C26" s="471">
        <v>78450000</v>
      </c>
      <c r="D26" s="471"/>
      <c r="E26" s="471"/>
      <c r="F26" s="471"/>
      <c r="G26" s="472">
        <f t="shared" si="0"/>
        <v>0</v>
      </c>
      <c r="H26" s="473"/>
      <c r="I26" s="474">
        <f t="shared" si="1"/>
        <v>0</v>
      </c>
      <c r="J26" s="475"/>
      <c r="K26" s="475"/>
      <c r="L26" s="476"/>
    </row>
    <row r="27" spans="1:12" ht="20.25" customHeight="1" x14ac:dyDescent="0.25">
      <c r="A27" s="469">
        <v>1223</v>
      </c>
      <c r="B27" s="477" t="s">
        <v>1772</v>
      </c>
      <c r="C27" s="471">
        <v>0</v>
      </c>
      <c r="D27" s="471"/>
      <c r="E27" s="471"/>
      <c r="F27" s="471"/>
      <c r="G27" s="472">
        <f t="shared" si="0"/>
        <v>0</v>
      </c>
      <c r="H27" s="473"/>
      <c r="I27" s="474">
        <f t="shared" si="1"/>
        <v>0</v>
      </c>
      <c r="J27" s="475"/>
      <c r="K27" s="475"/>
      <c r="L27" s="476"/>
    </row>
    <row r="28" spans="1:12" ht="20.25" customHeight="1" x14ac:dyDescent="0.25">
      <c r="A28" s="469">
        <v>1224</v>
      </c>
      <c r="B28" s="477" t="s">
        <v>1773</v>
      </c>
      <c r="C28" s="471">
        <v>20528265006</v>
      </c>
      <c r="D28" s="471"/>
      <c r="E28" s="471"/>
      <c r="F28" s="471"/>
      <c r="G28" s="472">
        <f t="shared" si="0"/>
        <v>0</v>
      </c>
      <c r="H28" s="473"/>
      <c r="I28" s="474">
        <f t="shared" si="1"/>
        <v>0</v>
      </c>
      <c r="J28" s="475"/>
      <c r="K28" s="475"/>
      <c r="L28" s="476"/>
    </row>
    <row r="29" spans="1:12" ht="20.25" customHeight="1" x14ac:dyDescent="0.25">
      <c r="A29" s="469">
        <v>1311</v>
      </c>
      <c r="B29" s="477" t="s">
        <v>1774</v>
      </c>
      <c r="C29" s="471">
        <v>26491885289</v>
      </c>
      <c r="D29" s="471">
        <v>26491885289</v>
      </c>
      <c r="E29" s="471"/>
      <c r="F29" s="471"/>
      <c r="G29" s="472">
        <f t="shared" si="0"/>
        <v>0</v>
      </c>
      <c r="H29" s="473"/>
      <c r="I29" s="474">
        <f t="shared" si="1"/>
        <v>0</v>
      </c>
      <c r="J29" s="475"/>
      <c r="K29" s="475"/>
      <c r="L29" s="476"/>
    </row>
    <row r="30" spans="1:12" ht="20.25" customHeight="1" x14ac:dyDescent="0.25">
      <c r="A30" s="469">
        <v>1337</v>
      </c>
      <c r="B30" s="477" t="s">
        <v>1775</v>
      </c>
      <c r="C30" s="471">
        <v>153887160072</v>
      </c>
      <c r="D30" s="471"/>
      <c r="E30" s="471"/>
      <c r="F30" s="471"/>
      <c r="G30" s="472">
        <f t="shared" si="0"/>
        <v>0</v>
      </c>
      <c r="H30" s="473"/>
      <c r="I30" s="474">
        <f t="shared" si="1"/>
        <v>0</v>
      </c>
      <c r="J30" s="475"/>
      <c r="K30" s="475"/>
      <c r="L30" s="476"/>
    </row>
    <row r="31" spans="1:12" ht="20.25" customHeight="1" x14ac:dyDescent="0.25">
      <c r="A31" s="469">
        <v>1338</v>
      </c>
      <c r="B31" s="477" t="s">
        <v>1776</v>
      </c>
      <c r="C31" s="471">
        <v>1192186</v>
      </c>
      <c r="D31" s="471"/>
      <c r="E31" s="471"/>
      <c r="F31" s="471"/>
      <c r="G31" s="472">
        <f t="shared" si="0"/>
        <v>0</v>
      </c>
      <c r="H31" s="473"/>
      <c r="I31" s="474">
        <f t="shared" si="1"/>
        <v>0</v>
      </c>
      <c r="J31" s="475"/>
      <c r="K31" s="475"/>
      <c r="L31" s="476"/>
    </row>
    <row r="32" spans="1:12" ht="20.25" customHeight="1" x14ac:dyDescent="0.25">
      <c r="A32" s="469">
        <v>1384</v>
      </c>
      <c r="B32" s="477" t="s">
        <v>916</v>
      </c>
      <c r="C32" s="471">
        <v>174910477330</v>
      </c>
      <c r="D32" s="471">
        <v>174910477330</v>
      </c>
      <c r="E32" s="471"/>
      <c r="F32" s="471"/>
      <c r="G32" s="472">
        <f t="shared" si="0"/>
        <v>0</v>
      </c>
      <c r="H32" s="473"/>
      <c r="I32" s="474">
        <f t="shared" si="1"/>
        <v>0</v>
      </c>
      <c r="J32" s="475"/>
      <c r="K32" s="475"/>
      <c r="L32" s="476"/>
    </row>
    <row r="33" spans="1:12" ht="20.25" customHeight="1" x14ac:dyDescent="0.25">
      <c r="A33" s="469">
        <v>1386</v>
      </c>
      <c r="B33" s="477" t="s">
        <v>1777</v>
      </c>
      <c r="C33" s="471">
        <v>-12951200774</v>
      </c>
      <c r="D33" s="471"/>
      <c r="E33" s="471"/>
      <c r="F33" s="471"/>
      <c r="G33" s="472">
        <f t="shared" si="0"/>
        <v>0</v>
      </c>
      <c r="H33" s="473"/>
      <c r="I33" s="474">
        <f t="shared" si="1"/>
        <v>0</v>
      </c>
      <c r="J33" s="475"/>
      <c r="K33" s="475"/>
      <c r="L33" s="476" t="s">
        <v>917</v>
      </c>
    </row>
    <row r="34" spans="1:12" ht="20.25" customHeight="1" x14ac:dyDescent="0.25">
      <c r="A34" s="469">
        <v>1510</v>
      </c>
      <c r="B34" s="477" t="s">
        <v>1778</v>
      </c>
      <c r="C34" s="471">
        <v>7543221116</v>
      </c>
      <c r="D34" s="471"/>
      <c r="E34" s="471"/>
      <c r="F34" s="471"/>
      <c r="G34" s="472">
        <f t="shared" si="0"/>
        <v>0</v>
      </c>
      <c r="H34" s="473"/>
      <c r="I34" s="474">
        <f t="shared" si="1"/>
        <v>0</v>
      </c>
      <c r="J34" s="475"/>
      <c r="K34" s="475"/>
      <c r="L34" s="476"/>
    </row>
    <row r="35" spans="1:12" ht="27.75" customHeight="1" x14ac:dyDescent="0.25">
      <c r="A35" s="469">
        <v>1530</v>
      </c>
      <c r="B35" s="477" t="s">
        <v>1779</v>
      </c>
      <c r="C35" s="471">
        <v>310778100</v>
      </c>
      <c r="D35" s="471"/>
      <c r="E35" s="471"/>
      <c r="F35" s="471"/>
      <c r="G35" s="472">
        <f t="shared" si="0"/>
        <v>0</v>
      </c>
      <c r="H35" s="473"/>
      <c r="I35" s="474">
        <f t="shared" si="1"/>
        <v>0</v>
      </c>
      <c r="J35" s="475"/>
      <c r="K35" s="475"/>
      <c r="L35" s="476"/>
    </row>
    <row r="36" spans="1:12" ht="20.25" customHeight="1" x14ac:dyDescent="0.25">
      <c r="A36" s="469">
        <v>1580</v>
      </c>
      <c r="B36" s="477" t="s">
        <v>1783</v>
      </c>
      <c r="C36" s="471">
        <v>-130971089</v>
      </c>
      <c r="D36" s="471"/>
      <c r="E36" s="471"/>
      <c r="F36" s="471"/>
      <c r="G36" s="472">
        <f t="shared" si="0"/>
        <v>0</v>
      </c>
      <c r="H36" s="473"/>
      <c r="I36" s="474">
        <f t="shared" si="1"/>
        <v>0</v>
      </c>
      <c r="J36" s="475"/>
      <c r="K36" s="475"/>
      <c r="L36" s="476"/>
    </row>
    <row r="37" spans="1:12" ht="20.25" customHeight="1" x14ac:dyDescent="0.25">
      <c r="A37" s="469">
        <v>1605</v>
      </c>
      <c r="B37" s="477" t="s">
        <v>918</v>
      </c>
      <c r="C37" s="471"/>
      <c r="D37" s="471"/>
      <c r="E37" s="471"/>
      <c r="F37" s="471"/>
      <c r="G37" s="472">
        <f t="shared" si="0"/>
        <v>0</v>
      </c>
      <c r="H37" s="473"/>
      <c r="I37" s="474">
        <f t="shared" si="1"/>
        <v>0</v>
      </c>
      <c r="J37" s="475"/>
      <c r="K37" s="475"/>
      <c r="L37" s="476"/>
    </row>
    <row r="38" spans="1:12" ht="20.25" customHeight="1" x14ac:dyDescent="0.25">
      <c r="A38" s="469">
        <v>1635</v>
      </c>
      <c r="B38" s="477" t="s">
        <v>1780</v>
      </c>
      <c r="C38" s="471">
        <v>0</v>
      </c>
      <c r="D38" s="471">
        <v>0</v>
      </c>
      <c r="E38" s="471"/>
      <c r="F38" s="471"/>
      <c r="G38" s="472">
        <f t="shared" si="0"/>
        <v>0</v>
      </c>
      <c r="H38" s="473"/>
      <c r="I38" s="474">
        <f t="shared" si="1"/>
        <v>0</v>
      </c>
      <c r="J38" s="475"/>
      <c r="K38" s="475"/>
      <c r="L38" s="476"/>
    </row>
    <row r="39" spans="1:12" ht="20.25" customHeight="1" x14ac:dyDescent="0.25">
      <c r="A39" s="469">
        <v>1637</v>
      </c>
      <c r="B39" s="477" t="s">
        <v>1781</v>
      </c>
      <c r="C39" s="471">
        <v>7400614696</v>
      </c>
      <c r="D39" s="471"/>
      <c r="E39" s="471"/>
      <c r="F39" s="471"/>
      <c r="G39" s="472">
        <f t="shared" si="0"/>
        <v>0</v>
      </c>
      <c r="H39" s="473"/>
      <c r="I39" s="474">
        <f t="shared" si="1"/>
        <v>0</v>
      </c>
      <c r="J39" s="475"/>
      <c r="K39" s="475"/>
      <c r="L39" s="476"/>
    </row>
    <row r="40" spans="1:12" ht="20.25" customHeight="1" x14ac:dyDescent="0.25">
      <c r="A40" s="469">
        <v>1640</v>
      </c>
      <c r="B40" s="477" t="s">
        <v>920</v>
      </c>
      <c r="C40" s="471">
        <v>30485226072</v>
      </c>
      <c r="D40" s="471"/>
      <c r="E40" s="471"/>
      <c r="F40" s="471"/>
      <c r="G40" s="472">
        <f t="shared" si="0"/>
        <v>0</v>
      </c>
      <c r="H40" s="473"/>
      <c r="I40" s="474">
        <f t="shared" si="1"/>
        <v>0</v>
      </c>
      <c r="J40" s="475"/>
      <c r="K40" s="475"/>
      <c r="L40" s="476"/>
    </row>
    <row r="41" spans="1:12" ht="20.25" customHeight="1" x14ac:dyDescent="0.25">
      <c r="A41" s="469">
        <v>1650</v>
      </c>
      <c r="B41" s="477" t="s">
        <v>1782</v>
      </c>
      <c r="C41" s="471">
        <v>873842885</v>
      </c>
      <c r="D41" s="471"/>
      <c r="E41" s="471"/>
      <c r="F41" s="471"/>
      <c r="G41" s="472">
        <f t="shared" si="0"/>
        <v>0</v>
      </c>
      <c r="H41" s="473"/>
      <c r="I41" s="474">
        <f t="shared" si="1"/>
        <v>0</v>
      </c>
      <c r="J41" s="475"/>
      <c r="K41" s="475"/>
      <c r="L41" s="476"/>
    </row>
    <row r="42" spans="1:12" ht="20.25" customHeight="1" x14ac:dyDescent="0.25">
      <c r="A42" s="469">
        <v>1655</v>
      </c>
      <c r="B42" s="477" t="s">
        <v>921</v>
      </c>
      <c r="C42" s="471">
        <v>2159364527</v>
      </c>
      <c r="D42" s="471"/>
      <c r="E42" s="471"/>
      <c r="F42" s="471"/>
      <c r="G42" s="472">
        <f t="shared" si="0"/>
        <v>0</v>
      </c>
      <c r="H42" s="473"/>
      <c r="I42" s="474">
        <f t="shared" si="1"/>
        <v>0</v>
      </c>
      <c r="J42" s="475"/>
      <c r="K42" s="475"/>
      <c r="L42" s="476"/>
    </row>
    <row r="43" spans="1:12" ht="20.25" customHeight="1" x14ac:dyDescent="0.25">
      <c r="A43" s="469">
        <v>1660</v>
      </c>
      <c r="B43" s="477" t="s">
        <v>922</v>
      </c>
      <c r="C43" s="471">
        <v>14775626</v>
      </c>
      <c r="D43" s="471"/>
      <c r="E43" s="471"/>
      <c r="F43" s="471"/>
      <c r="G43" s="472">
        <f t="shared" si="0"/>
        <v>0</v>
      </c>
      <c r="H43" s="473"/>
      <c r="I43" s="474">
        <f t="shared" si="1"/>
        <v>0</v>
      </c>
      <c r="J43" s="475"/>
      <c r="K43" s="475"/>
      <c r="L43" s="476" t="s">
        <v>919</v>
      </c>
    </row>
    <row r="44" spans="1:12" ht="20.25" customHeight="1" x14ac:dyDescent="0.25">
      <c r="A44" s="469">
        <v>1665</v>
      </c>
      <c r="B44" s="477" t="s">
        <v>923</v>
      </c>
      <c r="C44" s="471">
        <v>2983554281</v>
      </c>
      <c r="D44" s="471"/>
      <c r="E44" s="471"/>
      <c r="F44" s="471"/>
      <c r="G44" s="472">
        <f t="shared" si="0"/>
        <v>0</v>
      </c>
      <c r="H44" s="473"/>
      <c r="I44" s="474">
        <f t="shared" si="1"/>
        <v>0</v>
      </c>
      <c r="J44" s="475"/>
      <c r="K44" s="475"/>
      <c r="L44" s="476"/>
    </row>
    <row r="45" spans="1:12" ht="20.25" customHeight="1" x14ac:dyDescent="0.25">
      <c r="A45" s="469">
        <v>1670</v>
      </c>
      <c r="B45" s="477" t="s">
        <v>1793</v>
      </c>
      <c r="C45" s="471">
        <v>21013404288</v>
      </c>
      <c r="D45" s="471"/>
      <c r="E45" s="471"/>
      <c r="F45" s="471"/>
      <c r="G45" s="472">
        <f t="shared" si="0"/>
        <v>0</v>
      </c>
      <c r="H45" s="473"/>
      <c r="I45" s="474">
        <f t="shared" si="1"/>
        <v>0</v>
      </c>
      <c r="J45" s="475"/>
      <c r="K45" s="475"/>
      <c r="L45" s="476"/>
    </row>
    <row r="46" spans="1:12" ht="20.25" customHeight="1" x14ac:dyDescent="0.25">
      <c r="A46" s="469">
        <v>1675</v>
      </c>
      <c r="B46" s="477" t="s">
        <v>1784</v>
      </c>
      <c r="C46" s="471">
        <v>2861184669</v>
      </c>
      <c r="D46" s="471"/>
      <c r="E46" s="471"/>
      <c r="F46" s="471"/>
      <c r="G46" s="472">
        <f t="shared" si="0"/>
        <v>0</v>
      </c>
      <c r="H46" s="473"/>
      <c r="I46" s="474">
        <f t="shared" si="1"/>
        <v>0</v>
      </c>
      <c r="J46" s="475"/>
      <c r="K46" s="475"/>
      <c r="L46" s="476"/>
    </row>
    <row r="47" spans="1:12" ht="20.25" customHeight="1" x14ac:dyDescent="0.25">
      <c r="A47" s="469">
        <v>1680</v>
      </c>
      <c r="B47" s="477" t="s">
        <v>1794</v>
      </c>
      <c r="C47" s="471">
        <v>100357270</v>
      </c>
      <c r="D47" s="471"/>
      <c r="E47" s="471"/>
      <c r="F47" s="471"/>
      <c r="G47" s="472">
        <f t="shared" si="0"/>
        <v>0</v>
      </c>
      <c r="H47" s="473"/>
      <c r="I47" s="474">
        <f t="shared" si="1"/>
        <v>0</v>
      </c>
      <c r="J47" s="475"/>
      <c r="K47" s="475"/>
      <c r="L47" s="476"/>
    </row>
    <row r="48" spans="1:12" ht="20.25" customHeight="1" x14ac:dyDescent="0.25">
      <c r="A48" s="469">
        <v>1685</v>
      </c>
      <c r="B48" s="477" t="s">
        <v>1809</v>
      </c>
      <c r="C48" s="471">
        <v>-28729866660</v>
      </c>
      <c r="D48" s="471"/>
      <c r="E48" s="471"/>
      <c r="F48" s="471"/>
      <c r="G48" s="472">
        <f t="shared" si="0"/>
        <v>0</v>
      </c>
      <c r="H48" s="473"/>
      <c r="I48" s="474">
        <f t="shared" si="1"/>
        <v>0</v>
      </c>
      <c r="J48" s="475"/>
      <c r="K48" s="475"/>
      <c r="L48" s="476"/>
    </row>
    <row r="49" spans="1:12" ht="20.25" customHeight="1" x14ac:dyDescent="0.25">
      <c r="A49" s="469">
        <v>1695</v>
      </c>
      <c r="B49" s="477" t="s">
        <v>1795</v>
      </c>
      <c r="C49" s="471">
        <v>-1576313006</v>
      </c>
      <c r="D49" s="471"/>
      <c r="E49" s="471"/>
      <c r="F49" s="471"/>
      <c r="G49" s="472">
        <f t="shared" si="0"/>
        <v>0</v>
      </c>
      <c r="H49" s="473"/>
      <c r="I49" s="474">
        <f t="shared" si="1"/>
        <v>0</v>
      </c>
      <c r="J49" s="475"/>
      <c r="K49" s="475"/>
      <c r="L49" s="476"/>
    </row>
    <row r="50" spans="1:12" ht="20.25" customHeight="1" x14ac:dyDescent="0.25">
      <c r="A50" s="469">
        <v>1705</v>
      </c>
      <c r="B50" s="477" t="s">
        <v>1785</v>
      </c>
      <c r="C50" s="471"/>
      <c r="D50" s="471"/>
      <c r="E50" s="471"/>
      <c r="F50" s="471"/>
      <c r="G50" s="472">
        <f t="shared" si="0"/>
        <v>0</v>
      </c>
      <c r="H50" s="473"/>
      <c r="I50" s="474">
        <f t="shared" si="1"/>
        <v>0</v>
      </c>
      <c r="J50" s="475"/>
      <c r="K50" s="475"/>
      <c r="L50" s="476"/>
    </row>
    <row r="51" spans="1:12" ht="20.25" customHeight="1" x14ac:dyDescent="0.25">
      <c r="A51" s="469">
        <v>1710</v>
      </c>
      <c r="B51" s="477" t="s">
        <v>1786</v>
      </c>
      <c r="C51" s="471"/>
      <c r="D51" s="471"/>
      <c r="E51" s="471"/>
      <c r="F51" s="471"/>
      <c r="G51" s="472">
        <f t="shared" si="0"/>
        <v>0</v>
      </c>
      <c r="H51" s="473"/>
      <c r="I51" s="474">
        <f t="shared" si="1"/>
        <v>0</v>
      </c>
      <c r="J51" s="475"/>
      <c r="K51" s="475"/>
      <c r="L51" s="476"/>
    </row>
    <row r="52" spans="1:12" ht="20.25" customHeight="1" x14ac:dyDescent="0.25">
      <c r="A52" s="469">
        <v>1785</v>
      </c>
      <c r="B52" s="477" t="s">
        <v>1796</v>
      </c>
      <c r="C52" s="471"/>
      <c r="D52" s="471"/>
      <c r="E52" s="471"/>
      <c r="F52" s="471"/>
      <c r="G52" s="472">
        <f t="shared" si="0"/>
        <v>0</v>
      </c>
      <c r="H52" s="473"/>
      <c r="I52" s="474">
        <f t="shared" si="1"/>
        <v>0</v>
      </c>
      <c r="J52" s="475"/>
      <c r="K52" s="475"/>
      <c r="L52" s="476"/>
    </row>
    <row r="53" spans="1:12" ht="20.25" customHeight="1" x14ac:dyDescent="0.25">
      <c r="A53" s="469">
        <v>1902</v>
      </c>
      <c r="B53" s="477" t="s">
        <v>1787</v>
      </c>
      <c r="C53" s="471">
        <v>899670410</v>
      </c>
      <c r="D53" s="471"/>
      <c r="E53" s="471"/>
      <c r="F53" s="471"/>
      <c r="G53" s="472">
        <f t="shared" si="0"/>
        <v>0</v>
      </c>
      <c r="H53" s="473"/>
      <c r="I53" s="474">
        <f t="shared" si="1"/>
        <v>0</v>
      </c>
      <c r="J53" s="475"/>
      <c r="K53" s="475"/>
      <c r="L53" s="476"/>
    </row>
    <row r="54" spans="1:12" ht="20.25" customHeight="1" x14ac:dyDescent="0.25">
      <c r="A54" s="469">
        <v>1905</v>
      </c>
      <c r="B54" s="477" t="s">
        <v>924</v>
      </c>
      <c r="C54" s="471">
        <v>38560972034</v>
      </c>
      <c r="D54" s="471"/>
      <c r="E54" s="471"/>
      <c r="F54" s="471"/>
      <c r="G54" s="472">
        <f t="shared" si="0"/>
        <v>0</v>
      </c>
      <c r="H54" s="473"/>
      <c r="I54" s="474">
        <f t="shared" si="1"/>
        <v>0</v>
      </c>
      <c r="J54" s="475"/>
      <c r="K54" s="475"/>
      <c r="L54" s="476"/>
    </row>
    <row r="55" spans="1:12" ht="20.25" customHeight="1" x14ac:dyDescent="0.25">
      <c r="A55" s="469">
        <v>1906</v>
      </c>
      <c r="B55" s="477" t="s">
        <v>1788</v>
      </c>
      <c r="C55" s="471">
        <v>624544894700</v>
      </c>
      <c r="D55" s="471">
        <v>624544894700</v>
      </c>
      <c r="E55" s="471"/>
      <c r="F55" s="471"/>
      <c r="G55" s="472">
        <f t="shared" si="0"/>
        <v>0</v>
      </c>
      <c r="H55" s="473"/>
      <c r="I55" s="474">
        <f t="shared" si="1"/>
        <v>0</v>
      </c>
      <c r="J55" s="475"/>
      <c r="K55" s="475"/>
      <c r="L55" s="476"/>
    </row>
    <row r="56" spans="1:12" ht="20.25" customHeight="1" x14ac:dyDescent="0.25">
      <c r="A56" s="469">
        <v>1907</v>
      </c>
      <c r="B56" s="477" t="s">
        <v>1797</v>
      </c>
      <c r="C56" s="471">
        <v>31679447</v>
      </c>
      <c r="D56" s="471"/>
      <c r="E56" s="471"/>
      <c r="F56" s="471"/>
      <c r="G56" s="472">
        <f t="shared" si="0"/>
        <v>0</v>
      </c>
      <c r="H56" s="473"/>
      <c r="I56" s="474">
        <f t="shared" si="1"/>
        <v>0</v>
      </c>
      <c r="J56" s="475"/>
      <c r="K56" s="475"/>
      <c r="L56" s="476"/>
    </row>
    <row r="57" spans="1:12" ht="20.25" customHeight="1" x14ac:dyDescent="0.25">
      <c r="A57" s="469">
        <v>1908</v>
      </c>
      <c r="B57" s="477" t="s">
        <v>1798</v>
      </c>
      <c r="C57" s="471">
        <v>4294505324890</v>
      </c>
      <c r="D57" s="471"/>
      <c r="E57" s="471">
        <f>+C57</f>
        <v>4294505324890</v>
      </c>
      <c r="F57" s="471"/>
      <c r="G57" s="472">
        <f t="shared" si="0"/>
        <v>4294505324890</v>
      </c>
      <c r="H57" s="473"/>
      <c r="I57" s="474">
        <f>G57+H57</f>
        <v>4294505324890</v>
      </c>
      <c r="J57" s="475"/>
      <c r="K57" s="475"/>
      <c r="L57" s="476"/>
    </row>
    <row r="58" spans="1:12" ht="20.25" customHeight="1" x14ac:dyDescent="0.25">
      <c r="A58" s="469">
        <v>1909</v>
      </c>
      <c r="B58" s="477" t="s">
        <v>1789</v>
      </c>
      <c r="C58" s="471">
        <v>1039649688</v>
      </c>
      <c r="D58" s="471"/>
      <c r="E58" s="471"/>
      <c r="F58" s="471"/>
      <c r="G58" s="472">
        <f t="shared" si="0"/>
        <v>0</v>
      </c>
      <c r="H58" s="473"/>
      <c r="I58" s="474">
        <f t="shared" si="1"/>
        <v>0</v>
      </c>
      <c r="J58" s="475"/>
      <c r="K58" s="475"/>
      <c r="L58" s="476"/>
    </row>
    <row r="59" spans="1:12" ht="20.25" customHeight="1" x14ac:dyDescent="0.25">
      <c r="A59" s="469">
        <v>1970</v>
      </c>
      <c r="B59" s="477" t="s">
        <v>1790</v>
      </c>
      <c r="C59" s="471">
        <v>624111493548</v>
      </c>
      <c r="D59" s="471"/>
      <c r="E59" s="471"/>
      <c r="F59" s="471"/>
      <c r="G59" s="472">
        <f t="shared" si="0"/>
        <v>0</v>
      </c>
      <c r="H59" s="473"/>
      <c r="I59" s="474">
        <f t="shared" si="1"/>
        <v>0</v>
      </c>
      <c r="J59" s="475"/>
      <c r="K59" s="475"/>
      <c r="L59" s="476"/>
    </row>
    <row r="60" spans="1:12" ht="20.25" customHeight="1" x14ac:dyDescent="0.25">
      <c r="A60" s="469">
        <v>1975</v>
      </c>
      <c r="B60" s="477" t="s">
        <v>1791</v>
      </c>
      <c r="C60" s="471">
        <v>-6170109053</v>
      </c>
      <c r="D60" s="471"/>
      <c r="E60" s="471"/>
      <c r="F60" s="471"/>
      <c r="G60" s="472">
        <f t="shared" si="0"/>
        <v>0</v>
      </c>
      <c r="H60" s="473"/>
      <c r="I60" s="474">
        <f t="shared" si="1"/>
        <v>0</v>
      </c>
      <c r="J60" s="475"/>
      <c r="K60" s="475"/>
      <c r="L60" s="476"/>
    </row>
    <row r="61" spans="1:12" ht="20.25" customHeight="1" x14ac:dyDescent="0.25">
      <c r="A61" s="469">
        <v>1976</v>
      </c>
      <c r="B61" s="477" t="s">
        <v>1792</v>
      </c>
      <c r="C61" s="471">
        <v>-108842941</v>
      </c>
      <c r="D61" s="471"/>
      <c r="E61" s="471"/>
      <c r="F61" s="471"/>
      <c r="G61" s="472">
        <f t="shared" si="0"/>
        <v>0</v>
      </c>
      <c r="H61" s="473"/>
      <c r="I61" s="474">
        <f t="shared" si="1"/>
        <v>0</v>
      </c>
      <c r="J61" s="475"/>
      <c r="K61" s="475"/>
      <c r="L61" s="476"/>
    </row>
    <row r="62" spans="1:12" ht="20.25" customHeight="1" x14ac:dyDescent="0.25">
      <c r="A62" s="469">
        <v>1986</v>
      </c>
      <c r="B62" s="477" t="s">
        <v>1810</v>
      </c>
      <c r="C62" s="471">
        <v>1862075020</v>
      </c>
      <c r="D62" s="471"/>
      <c r="E62" s="471"/>
      <c r="F62" s="471"/>
      <c r="G62" s="472">
        <f t="shared" si="0"/>
        <v>0</v>
      </c>
      <c r="H62" s="473"/>
      <c r="I62" s="474">
        <f t="shared" si="1"/>
        <v>0</v>
      </c>
      <c r="J62" s="475"/>
      <c r="K62" s="475"/>
      <c r="L62" s="476"/>
    </row>
    <row r="63" spans="1:12" ht="20.25" customHeight="1" x14ac:dyDescent="0.25">
      <c r="A63" s="1572"/>
      <c r="B63" s="470"/>
      <c r="C63" s="471"/>
      <c r="D63" s="471"/>
      <c r="E63" s="471"/>
      <c r="F63" s="471"/>
      <c r="G63" s="472">
        <f t="shared" si="0"/>
        <v>0</v>
      </c>
      <c r="H63" s="473"/>
      <c r="I63" s="474">
        <f t="shared" si="1"/>
        <v>0</v>
      </c>
      <c r="J63" s="475"/>
      <c r="K63" s="475"/>
      <c r="L63" s="476"/>
    </row>
    <row r="64" spans="1:12" ht="20.25" customHeight="1" x14ac:dyDescent="0.25">
      <c r="A64" s="1572"/>
      <c r="B64" s="470"/>
      <c r="C64" s="471"/>
      <c r="D64" s="471"/>
      <c r="E64" s="471"/>
      <c r="F64" s="471"/>
      <c r="G64" s="472">
        <f t="shared" si="0"/>
        <v>0</v>
      </c>
      <c r="H64" s="473"/>
      <c r="I64" s="474">
        <f t="shared" si="1"/>
        <v>0</v>
      </c>
      <c r="J64" s="475"/>
      <c r="K64" s="475"/>
      <c r="L64" s="476"/>
    </row>
    <row r="65" spans="1:12" ht="20.25" customHeight="1" x14ac:dyDescent="0.25">
      <c r="A65" s="469"/>
      <c r="B65" s="470"/>
      <c r="C65" s="471"/>
      <c r="D65" s="471"/>
      <c r="E65" s="471"/>
      <c r="F65" s="471"/>
      <c r="G65" s="472">
        <f t="shared" si="0"/>
        <v>0</v>
      </c>
      <c r="H65" s="473"/>
      <c r="I65" s="474">
        <f t="shared" si="1"/>
        <v>0</v>
      </c>
      <c r="J65" s="475"/>
      <c r="K65" s="475"/>
      <c r="L65" s="476"/>
    </row>
    <row r="66" spans="1:12" ht="20.25" customHeight="1" x14ac:dyDescent="0.25">
      <c r="A66" s="469"/>
      <c r="B66" s="470"/>
      <c r="C66" s="471"/>
      <c r="D66" s="471"/>
      <c r="E66" s="471"/>
      <c r="F66" s="471"/>
      <c r="G66" s="472">
        <f t="shared" si="0"/>
        <v>0</v>
      </c>
      <c r="H66" s="473"/>
      <c r="I66" s="474">
        <f t="shared" si="1"/>
        <v>0</v>
      </c>
      <c r="J66" s="475"/>
      <c r="K66" s="475"/>
      <c r="L66" s="476"/>
    </row>
    <row r="67" spans="1:12" ht="20.25" customHeight="1" x14ac:dyDescent="0.25">
      <c r="A67" s="469"/>
      <c r="B67" s="470"/>
      <c r="C67" s="471"/>
      <c r="D67" s="471"/>
      <c r="E67" s="471"/>
      <c r="F67" s="471"/>
      <c r="G67" s="472">
        <f t="shared" si="0"/>
        <v>0</v>
      </c>
      <c r="H67" s="473"/>
      <c r="I67" s="474">
        <f t="shared" si="1"/>
        <v>0</v>
      </c>
      <c r="J67" s="475"/>
      <c r="K67" s="475"/>
      <c r="L67" s="476"/>
    </row>
    <row r="68" spans="1:12" ht="20.25" customHeight="1" x14ac:dyDescent="0.25">
      <c r="A68" s="469"/>
      <c r="B68" s="470"/>
      <c r="C68" s="471"/>
      <c r="D68" s="471"/>
      <c r="E68" s="471"/>
      <c r="F68" s="471"/>
      <c r="G68" s="472">
        <f t="shared" si="0"/>
        <v>0</v>
      </c>
      <c r="H68" s="473"/>
      <c r="I68" s="474">
        <f t="shared" si="1"/>
        <v>0</v>
      </c>
      <c r="J68" s="475"/>
      <c r="K68" s="475"/>
      <c r="L68" s="476" t="s">
        <v>925</v>
      </c>
    </row>
    <row r="69" spans="1:12" ht="20.25" customHeight="1" x14ac:dyDescent="0.25">
      <c r="A69" s="469"/>
      <c r="B69" s="477"/>
      <c r="C69" s="471"/>
      <c r="D69" s="471"/>
      <c r="E69" s="471"/>
      <c r="F69" s="471"/>
      <c r="G69" s="472">
        <f t="shared" si="0"/>
        <v>0</v>
      </c>
      <c r="H69" s="473"/>
      <c r="I69" s="474">
        <f t="shared" si="1"/>
        <v>0</v>
      </c>
      <c r="J69" s="475"/>
      <c r="K69" s="475"/>
      <c r="L69" s="476"/>
    </row>
    <row r="70" spans="1:12" ht="27" customHeight="1" x14ac:dyDescent="0.25">
      <c r="A70" s="469"/>
      <c r="B70" s="477"/>
      <c r="C70" s="478"/>
      <c r="D70" s="471"/>
      <c r="E70" s="471"/>
      <c r="F70" s="471"/>
      <c r="G70" s="472">
        <f t="shared" si="0"/>
        <v>0</v>
      </c>
      <c r="H70" s="473"/>
      <c r="I70" s="474">
        <f t="shared" si="1"/>
        <v>0</v>
      </c>
      <c r="J70" s="475"/>
      <c r="K70" s="475"/>
      <c r="L70" s="476"/>
    </row>
    <row r="71" spans="1:12" ht="27" customHeight="1" x14ac:dyDescent="0.25">
      <c r="A71" s="469"/>
      <c r="B71" s="477"/>
      <c r="C71" s="478"/>
      <c r="D71" s="471"/>
      <c r="E71" s="471"/>
      <c r="F71" s="471"/>
      <c r="G71" s="472">
        <f t="shared" si="0"/>
        <v>0</v>
      </c>
      <c r="H71" s="473"/>
      <c r="I71" s="474">
        <f t="shared" si="1"/>
        <v>0</v>
      </c>
      <c r="J71" s="475" t="s">
        <v>926</v>
      </c>
      <c r="K71" s="475"/>
      <c r="L71" s="476" t="s">
        <v>927</v>
      </c>
    </row>
    <row r="72" spans="1:12" ht="27" customHeight="1" x14ac:dyDescent="0.25">
      <c r="A72" s="469"/>
      <c r="B72" s="477"/>
      <c r="C72" s="471"/>
      <c r="D72" s="471"/>
      <c r="E72" s="471"/>
      <c r="F72" s="471"/>
      <c r="G72" s="472">
        <f t="shared" si="0"/>
        <v>0</v>
      </c>
      <c r="H72" s="473"/>
      <c r="I72" s="474">
        <f t="shared" si="1"/>
        <v>0</v>
      </c>
      <c r="J72" s="475"/>
      <c r="K72" s="475"/>
      <c r="L72" s="476"/>
    </row>
    <row r="73" spans="1:12" ht="18" customHeight="1" x14ac:dyDescent="0.25">
      <c r="A73" s="469"/>
      <c r="B73" s="477"/>
      <c r="C73" s="471"/>
      <c r="D73" s="471"/>
      <c r="E73" s="471"/>
      <c r="F73" s="471"/>
      <c r="G73" s="472">
        <f t="shared" si="0"/>
        <v>0</v>
      </c>
      <c r="H73" s="473"/>
      <c r="I73" s="474">
        <f t="shared" si="1"/>
        <v>0</v>
      </c>
      <c r="J73" s="475"/>
      <c r="K73" s="475"/>
      <c r="L73" s="476"/>
    </row>
    <row r="74" spans="1:12" ht="18" customHeight="1" x14ac:dyDescent="0.25">
      <c r="A74" s="469"/>
      <c r="B74" s="477"/>
      <c r="C74" s="471"/>
      <c r="D74" s="471"/>
      <c r="E74" s="471"/>
      <c r="F74" s="471"/>
      <c r="G74" s="472">
        <f t="shared" si="0"/>
        <v>0</v>
      </c>
      <c r="H74" s="473"/>
      <c r="I74" s="474">
        <f t="shared" si="1"/>
        <v>0</v>
      </c>
      <c r="J74" s="475"/>
      <c r="K74" s="475"/>
      <c r="L74" s="476"/>
    </row>
    <row r="75" spans="1:12" ht="18" customHeight="1" x14ac:dyDescent="0.25">
      <c r="A75" s="469"/>
      <c r="B75" s="470"/>
      <c r="C75" s="471"/>
      <c r="D75" s="471"/>
      <c r="E75" s="471"/>
      <c r="F75" s="471"/>
      <c r="G75" s="472">
        <f t="shared" si="0"/>
        <v>0</v>
      </c>
      <c r="H75" s="473"/>
      <c r="I75" s="474">
        <f t="shared" si="1"/>
        <v>0</v>
      </c>
      <c r="J75" s="475" t="s">
        <v>928</v>
      </c>
      <c r="K75" s="475"/>
      <c r="L75" s="476"/>
    </row>
    <row r="76" spans="1:12" ht="18" customHeight="1" x14ac:dyDescent="0.25">
      <c r="A76" s="469"/>
      <c r="B76" s="477"/>
      <c r="C76" s="471"/>
      <c r="D76" s="471"/>
      <c r="E76" s="471"/>
      <c r="F76" s="471"/>
      <c r="G76" s="472">
        <f t="shared" si="0"/>
        <v>0</v>
      </c>
      <c r="H76" s="473"/>
      <c r="I76" s="474">
        <f t="shared" si="1"/>
        <v>0</v>
      </c>
      <c r="J76" s="475"/>
      <c r="K76" s="475"/>
      <c r="L76" s="476"/>
    </row>
    <row r="77" spans="1:12" ht="18" customHeight="1" x14ac:dyDescent="0.25">
      <c r="A77" s="469"/>
      <c r="B77" s="477"/>
      <c r="C77" s="471"/>
      <c r="D77" s="471"/>
      <c r="E77" s="471"/>
      <c r="F77" s="471"/>
      <c r="G77" s="472">
        <f t="shared" si="0"/>
        <v>0</v>
      </c>
      <c r="H77" s="473"/>
      <c r="I77" s="474">
        <f t="shared" si="1"/>
        <v>0</v>
      </c>
      <c r="J77" s="475"/>
      <c r="K77" s="475"/>
      <c r="L77" s="476"/>
    </row>
    <row r="78" spans="1:12" ht="18" customHeight="1" x14ac:dyDescent="0.25">
      <c r="A78" s="469"/>
      <c r="B78" s="477"/>
      <c r="C78" s="471"/>
      <c r="D78" s="471"/>
      <c r="E78" s="471"/>
      <c r="F78" s="471"/>
      <c r="G78" s="472">
        <f t="shared" si="0"/>
        <v>0</v>
      </c>
      <c r="H78" s="473"/>
      <c r="I78" s="474">
        <f t="shared" si="1"/>
        <v>0</v>
      </c>
      <c r="J78" s="475"/>
      <c r="K78" s="475"/>
      <c r="L78" s="476"/>
    </row>
    <row r="79" spans="1:12" x14ac:dyDescent="0.25">
      <c r="A79" s="479"/>
      <c r="B79" s="480" t="s">
        <v>929</v>
      </c>
      <c r="C79" s="481">
        <f t="shared" ref="C79:H79" si="2">SUM(C24:C78)</f>
        <v>5987542209627</v>
      </c>
      <c r="D79" s="481">
        <f t="shared" si="2"/>
        <v>825957257319</v>
      </c>
      <c r="E79" s="481">
        <f t="shared" si="2"/>
        <v>4294505324890</v>
      </c>
      <c r="F79" s="481">
        <f t="shared" si="2"/>
        <v>0</v>
      </c>
      <c r="G79" s="482">
        <f t="shared" si="2"/>
        <v>4294505324890</v>
      </c>
      <c r="H79" s="483">
        <f t="shared" si="2"/>
        <v>0</v>
      </c>
      <c r="I79" s="483">
        <f>SUM(I24:I78)</f>
        <v>4294505324890</v>
      </c>
      <c r="J79" s="483"/>
      <c r="K79" s="483"/>
      <c r="L79" s="476"/>
    </row>
    <row r="80" spans="1:12" ht="15.75" thickBot="1" x14ac:dyDescent="0.3">
      <c r="A80" s="479"/>
      <c r="B80" s="484" t="s">
        <v>930</v>
      </c>
      <c r="C80" s="485"/>
      <c r="D80" s="486">
        <f>IF(D79&lt;=0,"",(D79/C79)*100)</f>
        <v>13.794595986162642</v>
      </c>
      <c r="E80" s="487"/>
      <c r="F80" s="487"/>
      <c r="G80" s="488">
        <f>IFERROR(IF(G79&lt;=0,0,+G79/$C$79),0)</f>
        <v>0.71724009193373695</v>
      </c>
      <c r="H80" s="489">
        <f>IFERROR(IF(H79&lt;=0,0,+H79/C79),0)</f>
        <v>0</v>
      </c>
      <c r="I80" s="490">
        <f>IFERROR(IF(I79&lt;=0,0,I79/C79),0)</f>
        <v>0.71724009193373695</v>
      </c>
      <c r="J80" s="491"/>
      <c r="K80" s="490"/>
      <c r="L80" s="476"/>
    </row>
    <row r="81" spans="1:12" ht="15.75" thickTop="1" x14ac:dyDescent="0.25">
      <c r="A81" s="479"/>
      <c r="B81" s="492"/>
      <c r="C81" s="492"/>
      <c r="D81" s="493"/>
      <c r="E81" s="492"/>
      <c r="F81" s="492"/>
      <c r="G81" s="494"/>
      <c r="H81" s="495"/>
      <c r="I81" s="496"/>
      <c r="J81" s="496"/>
      <c r="K81" s="496"/>
      <c r="L81" s="497"/>
    </row>
    <row r="82" spans="1:12" ht="93" customHeight="1" x14ac:dyDescent="0.25">
      <c r="A82" s="464" t="s">
        <v>901</v>
      </c>
      <c r="B82" s="498" t="s">
        <v>931</v>
      </c>
      <c r="C82" s="465" t="s">
        <v>903</v>
      </c>
      <c r="D82" s="465" t="s">
        <v>904</v>
      </c>
      <c r="E82" s="465" t="s">
        <v>905</v>
      </c>
      <c r="F82" s="465" t="s">
        <v>906</v>
      </c>
      <c r="G82" s="498" t="s">
        <v>907</v>
      </c>
      <c r="H82" s="498" t="s">
        <v>908</v>
      </c>
      <c r="I82" s="498" t="s">
        <v>909</v>
      </c>
      <c r="J82" s="498" t="s">
        <v>910</v>
      </c>
      <c r="K82" s="498" t="s">
        <v>911</v>
      </c>
      <c r="L82" s="499" t="s">
        <v>912</v>
      </c>
    </row>
    <row r="83" spans="1:12" ht="24" customHeight="1" x14ac:dyDescent="0.25">
      <c r="A83" s="469">
        <v>2401</v>
      </c>
      <c r="B83" s="477" t="s">
        <v>1799</v>
      </c>
      <c r="C83" s="500">
        <v>51765649</v>
      </c>
      <c r="D83" s="500"/>
      <c r="E83" s="500"/>
      <c r="F83" s="471"/>
      <c r="G83" s="472">
        <f t="shared" ref="G83:G101" si="3">+E83+F83</f>
        <v>0</v>
      </c>
      <c r="H83" s="473"/>
      <c r="I83" s="501">
        <f t="shared" ref="I83:I97" si="4">G83+H83</f>
        <v>0</v>
      </c>
      <c r="J83" s="475"/>
      <c r="K83" s="475"/>
      <c r="L83" s="476"/>
    </row>
    <row r="84" spans="1:12" ht="24" customHeight="1" x14ac:dyDescent="0.25">
      <c r="A84" s="469">
        <v>2407</v>
      </c>
      <c r="B84" s="477" t="s">
        <v>1800</v>
      </c>
      <c r="C84" s="500">
        <v>8683851651</v>
      </c>
      <c r="D84" s="500"/>
      <c r="E84" s="500"/>
      <c r="F84" s="471"/>
      <c r="G84" s="472">
        <f t="shared" si="3"/>
        <v>0</v>
      </c>
      <c r="H84" s="473"/>
      <c r="I84" s="501">
        <f t="shared" si="4"/>
        <v>0</v>
      </c>
      <c r="J84" s="475"/>
      <c r="K84" s="475"/>
      <c r="L84" s="476"/>
    </row>
    <row r="85" spans="1:12" ht="24" customHeight="1" x14ac:dyDescent="0.25">
      <c r="A85" s="469">
        <v>2424</v>
      </c>
      <c r="B85" s="477" t="s">
        <v>1807</v>
      </c>
      <c r="C85" s="500">
        <v>490375544</v>
      </c>
      <c r="D85" s="500"/>
      <c r="E85" s="500"/>
      <c r="F85" s="471"/>
      <c r="G85" s="472">
        <f t="shared" si="3"/>
        <v>0</v>
      </c>
      <c r="H85" s="473"/>
      <c r="I85" s="501">
        <f t="shared" si="4"/>
        <v>0</v>
      </c>
      <c r="J85" s="475"/>
      <c r="K85" s="475"/>
      <c r="L85" s="476"/>
    </row>
    <row r="86" spans="1:12" ht="24" customHeight="1" x14ac:dyDescent="0.25">
      <c r="A86" s="469">
        <v>2436</v>
      </c>
      <c r="B86" s="477" t="s">
        <v>1801</v>
      </c>
      <c r="C86" s="500">
        <v>11259374076</v>
      </c>
      <c r="D86" s="500"/>
      <c r="E86" s="500"/>
      <c r="F86" s="471"/>
      <c r="G86" s="472">
        <f t="shared" si="3"/>
        <v>0</v>
      </c>
      <c r="H86" s="473"/>
      <c r="I86" s="501">
        <f t="shared" si="4"/>
        <v>0</v>
      </c>
      <c r="J86" s="475"/>
      <c r="K86" s="475"/>
      <c r="L86" s="476"/>
    </row>
    <row r="87" spans="1:12" ht="24" customHeight="1" x14ac:dyDescent="0.25">
      <c r="A87" s="469">
        <v>2440</v>
      </c>
      <c r="B87" s="477" t="s">
        <v>1808</v>
      </c>
      <c r="C87" s="500">
        <v>430775197</v>
      </c>
      <c r="D87" s="500"/>
      <c r="E87" s="500"/>
      <c r="F87" s="471"/>
      <c r="G87" s="472">
        <f t="shared" si="3"/>
        <v>0</v>
      </c>
      <c r="H87" s="473"/>
      <c r="I87" s="501">
        <f t="shared" si="4"/>
        <v>0</v>
      </c>
      <c r="J87" s="475"/>
      <c r="K87" s="475"/>
      <c r="L87" s="476"/>
    </row>
    <row r="88" spans="1:12" ht="24" customHeight="1" x14ac:dyDescent="0.25">
      <c r="A88" s="469">
        <v>2460</v>
      </c>
      <c r="B88" s="477" t="s">
        <v>1802</v>
      </c>
      <c r="C88" s="500">
        <v>139560972034</v>
      </c>
      <c r="D88" s="500"/>
      <c r="E88" s="500"/>
      <c r="F88" s="471"/>
      <c r="G88" s="472">
        <f t="shared" si="3"/>
        <v>0</v>
      </c>
      <c r="H88" s="473"/>
      <c r="I88" s="501">
        <f t="shared" si="4"/>
        <v>0</v>
      </c>
      <c r="J88" s="475"/>
      <c r="K88" s="475"/>
      <c r="L88" s="476"/>
    </row>
    <row r="89" spans="1:12" ht="24" customHeight="1" x14ac:dyDescent="0.25">
      <c r="A89" s="469">
        <v>2490</v>
      </c>
      <c r="B89" s="477" t="s">
        <v>932</v>
      </c>
      <c r="C89" s="500">
        <v>7607587639</v>
      </c>
      <c r="D89" s="500"/>
      <c r="E89" s="500"/>
      <c r="F89" s="471"/>
      <c r="G89" s="472">
        <f t="shared" si="3"/>
        <v>0</v>
      </c>
      <c r="H89" s="473"/>
      <c r="I89" s="501">
        <f t="shared" si="4"/>
        <v>0</v>
      </c>
      <c r="J89" s="475"/>
      <c r="K89" s="475"/>
      <c r="L89" s="476"/>
    </row>
    <row r="90" spans="1:12" ht="24" customHeight="1" x14ac:dyDescent="0.25">
      <c r="A90" s="469">
        <v>2511</v>
      </c>
      <c r="B90" s="477" t="s">
        <v>1803</v>
      </c>
      <c r="C90" s="500">
        <v>22262078907</v>
      </c>
      <c r="D90" s="500"/>
      <c r="E90" s="500"/>
      <c r="F90" s="471"/>
      <c r="G90" s="472">
        <f t="shared" si="3"/>
        <v>0</v>
      </c>
      <c r="H90" s="473"/>
      <c r="I90" s="501">
        <f t="shared" si="4"/>
        <v>0</v>
      </c>
      <c r="J90" s="475"/>
      <c r="K90" s="475"/>
      <c r="L90" s="476"/>
    </row>
    <row r="91" spans="1:12" ht="24" customHeight="1" x14ac:dyDescent="0.25">
      <c r="A91" s="469">
        <v>2512</v>
      </c>
      <c r="B91" s="477" t="s">
        <v>1804</v>
      </c>
      <c r="C91" s="500">
        <v>4400756071</v>
      </c>
      <c r="D91" s="500"/>
      <c r="E91" s="500"/>
      <c r="F91" s="471"/>
      <c r="G91" s="472">
        <f t="shared" si="3"/>
        <v>0</v>
      </c>
      <c r="H91" s="473"/>
      <c r="I91" s="501">
        <f t="shared" si="4"/>
        <v>0</v>
      </c>
      <c r="J91" s="475"/>
      <c r="K91" s="475"/>
      <c r="L91" s="476"/>
    </row>
    <row r="92" spans="1:12" ht="24" customHeight="1" x14ac:dyDescent="0.25">
      <c r="A92" s="469">
        <v>2701</v>
      </c>
      <c r="B92" s="477" t="s">
        <v>933</v>
      </c>
      <c r="C92" s="500">
        <v>61629520497</v>
      </c>
      <c r="D92" s="500"/>
      <c r="E92" s="500"/>
      <c r="F92" s="471"/>
      <c r="G92" s="472">
        <f t="shared" si="3"/>
        <v>0</v>
      </c>
      <c r="H92" s="473"/>
      <c r="I92" s="501">
        <f t="shared" si="4"/>
        <v>0</v>
      </c>
      <c r="J92" s="475"/>
      <c r="K92" s="475"/>
      <c r="L92" s="476"/>
    </row>
    <row r="93" spans="1:12" ht="24" customHeight="1" x14ac:dyDescent="0.25">
      <c r="A93" s="469">
        <v>2901</v>
      </c>
      <c r="B93" s="477" t="s">
        <v>934</v>
      </c>
      <c r="C93" s="500">
        <v>1676078052</v>
      </c>
      <c r="D93" s="500">
        <v>1676078052</v>
      </c>
      <c r="E93" s="500"/>
      <c r="F93" s="471"/>
      <c r="G93" s="472">
        <f t="shared" si="3"/>
        <v>0</v>
      </c>
      <c r="H93" s="473"/>
      <c r="I93" s="501">
        <f t="shared" si="4"/>
        <v>0</v>
      </c>
      <c r="J93" s="475"/>
      <c r="K93" s="475"/>
      <c r="L93" s="476"/>
    </row>
    <row r="94" spans="1:12" ht="24" customHeight="1" x14ac:dyDescent="0.25">
      <c r="A94" s="469">
        <v>2902</v>
      </c>
      <c r="B94" s="477" t="s">
        <v>936</v>
      </c>
      <c r="C94" s="500">
        <v>3135924845901</v>
      </c>
      <c r="D94" s="500">
        <v>135924845901</v>
      </c>
      <c r="E94" s="500"/>
      <c r="F94" s="471"/>
      <c r="G94" s="472">
        <f t="shared" si="3"/>
        <v>0</v>
      </c>
      <c r="H94" s="473"/>
      <c r="I94" s="501">
        <f t="shared" si="4"/>
        <v>0</v>
      </c>
      <c r="J94" s="475"/>
      <c r="K94" s="475"/>
      <c r="L94" s="476"/>
    </row>
    <row r="95" spans="1:12" ht="24" customHeight="1" x14ac:dyDescent="0.25">
      <c r="A95" s="469">
        <v>2903</v>
      </c>
      <c r="B95" s="477" t="s">
        <v>1805</v>
      </c>
      <c r="C95" s="500">
        <v>76450499231</v>
      </c>
      <c r="D95" s="500">
        <v>76450499231</v>
      </c>
      <c r="E95" s="500"/>
      <c r="F95" s="471"/>
      <c r="G95" s="472">
        <f t="shared" si="3"/>
        <v>0</v>
      </c>
      <c r="H95" s="473"/>
      <c r="I95" s="501">
        <f t="shared" si="4"/>
        <v>0</v>
      </c>
      <c r="J95" s="475"/>
      <c r="K95" s="475"/>
      <c r="L95" s="476"/>
    </row>
    <row r="96" spans="1:12" ht="24" customHeight="1" x14ac:dyDescent="0.25">
      <c r="A96" s="469">
        <v>2910</v>
      </c>
      <c r="B96" s="477" t="s">
        <v>939</v>
      </c>
      <c r="C96" s="500">
        <v>2978015091</v>
      </c>
      <c r="D96" s="500">
        <v>2978015091</v>
      </c>
      <c r="E96" s="500"/>
      <c r="F96" s="471"/>
      <c r="G96" s="472">
        <f t="shared" si="3"/>
        <v>0</v>
      </c>
      <c r="H96" s="473"/>
      <c r="I96" s="501">
        <f t="shared" si="4"/>
        <v>0</v>
      </c>
      <c r="J96" s="475"/>
      <c r="K96" s="475"/>
      <c r="L96" s="476"/>
    </row>
    <row r="97" spans="1:12" ht="24" customHeight="1" x14ac:dyDescent="0.25">
      <c r="A97" s="469">
        <v>2990</v>
      </c>
      <c r="B97" s="477" t="s">
        <v>940</v>
      </c>
      <c r="C97" s="500">
        <f>1609085703558+110342916</f>
        <v>1609196046474</v>
      </c>
      <c r="D97" s="500">
        <v>107085703558</v>
      </c>
      <c r="E97" s="500"/>
      <c r="F97" s="471"/>
      <c r="G97" s="472">
        <f t="shared" si="3"/>
        <v>0</v>
      </c>
      <c r="H97" s="473"/>
      <c r="I97" s="501">
        <f t="shared" si="4"/>
        <v>0</v>
      </c>
      <c r="J97" s="475"/>
      <c r="K97" s="475"/>
      <c r="L97" s="476" t="s">
        <v>935</v>
      </c>
    </row>
    <row r="98" spans="1:12" ht="24" customHeight="1" x14ac:dyDescent="0.25">
      <c r="A98" s="469">
        <v>3105</v>
      </c>
      <c r="B98" s="477" t="s">
        <v>941</v>
      </c>
      <c r="C98" s="500"/>
      <c r="D98" s="500"/>
      <c r="E98" s="500"/>
      <c r="F98" s="471"/>
      <c r="G98" s="472">
        <f t="shared" si="3"/>
        <v>0</v>
      </c>
      <c r="H98" s="473"/>
      <c r="I98" s="501">
        <f>G98+H98</f>
        <v>0</v>
      </c>
      <c r="J98" s="475"/>
      <c r="K98" s="475"/>
      <c r="L98" s="476"/>
    </row>
    <row r="99" spans="1:12" ht="24" customHeight="1" x14ac:dyDescent="0.25">
      <c r="A99" s="469">
        <v>3109</v>
      </c>
      <c r="B99" s="477" t="s">
        <v>1806</v>
      </c>
      <c r="C99" s="500"/>
      <c r="D99" s="500"/>
      <c r="E99" s="500"/>
      <c r="F99" s="471"/>
      <c r="G99" s="472">
        <f t="shared" si="3"/>
        <v>0</v>
      </c>
      <c r="H99" s="473"/>
      <c r="I99" s="501">
        <f t="shared" ref="I99:I121" si="5">G99+H99</f>
        <v>0</v>
      </c>
      <c r="J99" s="475"/>
      <c r="K99" s="475"/>
      <c r="L99" s="476"/>
    </row>
    <row r="100" spans="1:12" ht="24" customHeight="1" x14ac:dyDescent="0.25">
      <c r="A100" s="469">
        <v>3110</v>
      </c>
      <c r="B100" s="477" t="s">
        <v>942</v>
      </c>
      <c r="C100" s="500">
        <v>904939667613</v>
      </c>
      <c r="D100" s="500"/>
      <c r="E100" s="500"/>
      <c r="F100" s="471"/>
      <c r="G100" s="472">
        <f t="shared" si="3"/>
        <v>0</v>
      </c>
      <c r="H100" s="473"/>
      <c r="I100" s="501">
        <f t="shared" si="5"/>
        <v>0</v>
      </c>
      <c r="J100" s="475" t="s">
        <v>937</v>
      </c>
      <c r="K100" s="475"/>
      <c r="L100" s="476" t="s">
        <v>938</v>
      </c>
    </row>
    <row r="101" spans="1:12" ht="24" customHeight="1" x14ac:dyDescent="0.25">
      <c r="A101" s="469"/>
      <c r="B101" s="477"/>
      <c r="C101" s="500"/>
      <c r="D101" s="500"/>
      <c r="E101" s="500"/>
      <c r="F101" s="471"/>
      <c r="G101" s="472">
        <f t="shared" si="3"/>
        <v>0</v>
      </c>
      <c r="H101" s="473"/>
      <c r="I101" s="501">
        <f t="shared" si="5"/>
        <v>0</v>
      </c>
      <c r="J101" s="475"/>
      <c r="K101" s="475"/>
      <c r="L101" s="476"/>
    </row>
    <row r="102" spans="1:12" ht="24" customHeight="1" x14ac:dyDescent="0.25">
      <c r="A102" s="469"/>
      <c r="B102" s="477"/>
      <c r="C102" s="500"/>
      <c r="D102" s="500"/>
      <c r="E102" s="500"/>
      <c r="F102" s="471"/>
      <c r="G102" s="472">
        <f t="shared" ref="G102:G121" si="6">+E102+F102</f>
        <v>0</v>
      </c>
      <c r="H102" s="473"/>
      <c r="I102" s="501">
        <f t="shared" si="5"/>
        <v>0</v>
      </c>
      <c r="J102" s="475"/>
      <c r="K102" s="475"/>
      <c r="L102" s="476"/>
    </row>
    <row r="103" spans="1:12" ht="24" customHeight="1" x14ac:dyDescent="0.25">
      <c r="A103" s="469"/>
      <c r="B103" s="477"/>
      <c r="C103" s="500"/>
      <c r="D103" s="500"/>
      <c r="E103" s="500"/>
      <c r="F103" s="471"/>
      <c r="G103" s="472">
        <f t="shared" si="6"/>
        <v>0</v>
      </c>
      <c r="H103" s="473"/>
      <c r="I103" s="501">
        <f t="shared" si="5"/>
        <v>0</v>
      </c>
      <c r="J103" s="475"/>
      <c r="K103" s="475"/>
      <c r="L103" s="476"/>
    </row>
    <row r="104" spans="1:12" ht="24" customHeight="1" x14ac:dyDescent="0.25">
      <c r="A104" s="469"/>
      <c r="B104" s="477"/>
      <c r="D104" s="500"/>
      <c r="E104" s="500"/>
      <c r="F104" s="471"/>
      <c r="G104" s="472">
        <f t="shared" si="6"/>
        <v>0</v>
      </c>
      <c r="H104" s="473"/>
      <c r="I104" s="501">
        <f t="shared" si="5"/>
        <v>0</v>
      </c>
      <c r="J104" s="475"/>
      <c r="K104" s="475"/>
      <c r="L104" s="476"/>
    </row>
    <row r="105" spans="1:12" ht="24" customHeight="1" x14ac:dyDescent="0.25">
      <c r="A105" s="469"/>
      <c r="B105" s="477"/>
      <c r="C105" s="500"/>
      <c r="D105" s="500"/>
      <c r="E105" s="500"/>
      <c r="F105" s="471"/>
      <c r="G105" s="472">
        <f t="shared" si="6"/>
        <v>0</v>
      </c>
      <c r="H105" s="473"/>
      <c r="I105" s="501">
        <f t="shared" si="5"/>
        <v>0</v>
      </c>
      <c r="J105" s="475"/>
      <c r="K105" s="475"/>
      <c r="L105" s="476"/>
    </row>
    <row r="106" spans="1:12" ht="24" customHeight="1" x14ac:dyDescent="0.25">
      <c r="A106" s="469"/>
      <c r="B106" s="477"/>
      <c r="C106" s="500"/>
      <c r="D106" s="500"/>
      <c r="E106" s="500"/>
      <c r="F106" s="471"/>
      <c r="G106" s="472">
        <f t="shared" si="6"/>
        <v>0</v>
      </c>
      <c r="H106" s="473"/>
      <c r="I106" s="501">
        <f t="shared" si="5"/>
        <v>0</v>
      </c>
      <c r="J106" s="475"/>
      <c r="K106" s="475"/>
      <c r="L106" s="476"/>
    </row>
    <row r="107" spans="1:12" ht="24" customHeight="1" x14ac:dyDescent="0.25">
      <c r="A107" s="469"/>
      <c r="B107" s="477"/>
      <c r="C107" s="500"/>
      <c r="D107" s="500"/>
      <c r="E107" s="500"/>
      <c r="F107" s="471"/>
      <c r="G107" s="472">
        <f t="shared" si="6"/>
        <v>0</v>
      </c>
      <c r="H107" s="473"/>
      <c r="I107" s="501">
        <f t="shared" si="5"/>
        <v>0</v>
      </c>
      <c r="J107" s="475"/>
      <c r="K107" s="475"/>
      <c r="L107" s="476"/>
    </row>
    <row r="108" spans="1:12" ht="24" customHeight="1" x14ac:dyDescent="0.25">
      <c r="A108" s="469"/>
      <c r="B108" s="477"/>
      <c r="C108" s="500"/>
      <c r="D108" s="500"/>
      <c r="E108" s="500"/>
      <c r="F108" s="471"/>
      <c r="G108" s="472">
        <f t="shared" si="6"/>
        <v>0</v>
      </c>
      <c r="H108" s="473"/>
      <c r="I108" s="501">
        <f t="shared" si="5"/>
        <v>0</v>
      </c>
      <c r="J108" s="475"/>
      <c r="K108" s="475"/>
      <c r="L108" s="476"/>
    </row>
    <row r="109" spans="1:12" ht="24" customHeight="1" x14ac:dyDescent="0.25">
      <c r="A109" s="469"/>
      <c r="B109" s="477"/>
      <c r="C109" s="500"/>
      <c r="D109" s="500"/>
      <c r="E109" s="500"/>
      <c r="F109" s="471"/>
      <c r="G109" s="472">
        <f t="shared" si="6"/>
        <v>0</v>
      </c>
      <c r="H109" s="473"/>
      <c r="I109" s="501">
        <f t="shared" si="5"/>
        <v>0</v>
      </c>
      <c r="J109" s="475"/>
      <c r="K109" s="475"/>
      <c r="L109" s="476"/>
    </row>
    <row r="110" spans="1:12" ht="24" customHeight="1" x14ac:dyDescent="0.25">
      <c r="A110" s="469"/>
      <c r="B110" s="477"/>
      <c r="C110" s="500"/>
      <c r="D110" s="500"/>
      <c r="E110" s="500"/>
      <c r="F110" s="471"/>
      <c r="G110" s="472">
        <f t="shared" si="6"/>
        <v>0</v>
      </c>
      <c r="H110" s="473"/>
      <c r="I110" s="501">
        <f t="shared" si="5"/>
        <v>0</v>
      </c>
      <c r="J110" s="475"/>
      <c r="K110" s="475"/>
      <c r="L110" s="476"/>
    </row>
    <row r="111" spans="1:12" ht="24" customHeight="1" x14ac:dyDescent="0.25">
      <c r="A111" s="469"/>
      <c r="B111" s="477"/>
      <c r="C111" s="500"/>
      <c r="D111" s="500"/>
      <c r="E111" s="500"/>
      <c r="F111" s="471"/>
      <c r="G111" s="472">
        <f t="shared" si="6"/>
        <v>0</v>
      </c>
      <c r="H111" s="473"/>
      <c r="I111" s="501">
        <f t="shared" si="5"/>
        <v>0</v>
      </c>
      <c r="J111" s="475"/>
      <c r="K111" s="475"/>
      <c r="L111" s="476"/>
    </row>
    <row r="112" spans="1:12" ht="33.75" hidden="1" customHeight="1" x14ac:dyDescent="0.25">
      <c r="A112" s="469"/>
      <c r="B112" s="502"/>
      <c r="C112" s="471"/>
      <c r="D112" s="471"/>
      <c r="E112" s="471"/>
      <c r="F112" s="471"/>
      <c r="G112" s="472">
        <f t="shared" si="6"/>
        <v>0</v>
      </c>
      <c r="H112" s="473"/>
      <c r="I112" s="501">
        <f t="shared" si="5"/>
        <v>0</v>
      </c>
      <c r="J112" s="475"/>
      <c r="K112" s="475"/>
      <c r="L112" s="476"/>
    </row>
    <row r="113" spans="1:12" ht="26.25" hidden="1" customHeight="1" x14ac:dyDescent="0.25">
      <c r="A113" s="469"/>
      <c r="B113" s="502"/>
      <c r="C113" s="471"/>
      <c r="D113" s="501"/>
      <c r="E113" s="471"/>
      <c r="F113" s="471"/>
      <c r="G113" s="472">
        <f t="shared" si="6"/>
        <v>0</v>
      </c>
      <c r="H113" s="473"/>
      <c r="I113" s="501">
        <f t="shared" si="5"/>
        <v>0</v>
      </c>
      <c r="J113" s="475"/>
      <c r="K113" s="475"/>
      <c r="L113" s="476"/>
    </row>
    <row r="114" spans="1:12" ht="36" hidden="1" customHeight="1" x14ac:dyDescent="0.25">
      <c r="A114" s="469"/>
      <c r="B114" s="502"/>
      <c r="C114" s="471"/>
      <c r="D114" s="471"/>
      <c r="E114" s="471"/>
      <c r="F114" s="503"/>
      <c r="G114" s="472">
        <f t="shared" si="6"/>
        <v>0</v>
      </c>
      <c r="H114" s="473"/>
      <c r="I114" s="501">
        <f t="shared" si="5"/>
        <v>0</v>
      </c>
      <c r="J114" s="475"/>
      <c r="K114" s="475"/>
      <c r="L114" s="476"/>
    </row>
    <row r="115" spans="1:12" ht="26.25" hidden="1" customHeight="1" x14ac:dyDescent="0.25">
      <c r="A115" s="469"/>
      <c r="B115" s="502"/>
      <c r="C115" s="471"/>
      <c r="D115" s="471"/>
      <c r="E115" s="471"/>
      <c r="F115" s="471"/>
      <c r="G115" s="472">
        <f t="shared" si="6"/>
        <v>0</v>
      </c>
      <c r="H115" s="473"/>
      <c r="I115" s="501">
        <f t="shared" si="5"/>
        <v>0</v>
      </c>
      <c r="J115" s="475"/>
      <c r="K115" s="475"/>
      <c r="L115" s="476"/>
    </row>
    <row r="116" spans="1:12" ht="33" hidden="1" customHeight="1" x14ac:dyDescent="0.25">
      <c r="A116" s="469"/>
      <c r="B116" s="502"/>
      <c r="C116" s="471"/>
      <c r="D116" s="471"/>
      <c r="E116" s="471"/>
      <c r="F116" s="471"/>
      <c r="G116" s="472">
        <f t="shared" si="6"/>
        <v>0</v>
      </c>
      <c r="H116" s="473"/>
      <c r="I116" s="501">
        <f t="shared" si="5"/>
        <v>0</v>
      </c>
      <c r="J116" s="475"/>
      <c r="K116" s="475"/>
      <c r="L116" s="476"/>
    </row>
    <row r="117" spans="1:12" ht="26.25" hidden="1" customHeight="1" x14ac:dyDescent="0.25">
      <c r="A117" s="469"/>
      <c r="B117" s="502"/>
      <c r="C117" s="471"/>
      <c r="D117" s="471"/>
      <c r="E117" s="471"/>
      <c r="F117" s="471"/>
      <c r="G117" s="472">
        <f t="shared" si="6"/>
        <v>0</v>
      </c>
      <c r="H117" s="473"/>
      <c r="I117" s="501">
        <f t="shared" si="5"/>
        <v>0</v>
      </c>
      <c r="J117" s="475"/>
      <c r="K117" s="475"/>
      <c r="L117" s="476"/>
    </row>
    <row r="118" spans="1:12" ht="26.25" hidden="1" customHeight="1" x14ac:dyDescent="0.25">
      <c r="A118" s="469"/>
      <c r="B118" s="502"/>
      <c r="C118" s="471"/>
      <c r="D118" s="471"/>
      <c r="E118" s="471"/>
      <c r="F118" s="471"/>
      <c r="G118" s="472">
        <f t="shared" si="6"/>
        <v>0</v>
      </c>
      <c r="H118" s="473"/>
      <c r="I118" s="501">
        <f t="shared" si="5"/>
        <v>0</v>
      </c>
      <c r="J118" s="475"/>
      <c r="K118" s="475"/>
      <c r="L118" s="476"/>
    </row>
    <row r="119" spans="1:12" ht="26.25" hidden="1" customHeight="1" x14ac:dyDescent="0.25">
      <c r="A119" s="469"/>
      <c r="B119" s="502"/>
      <c r="C119" s="471"/>
      <c r="D119" s="471"/>
      <c r="E119" s="471"/>
      <c r="F119" s="471"/>
      <c r="G119" s="472">
        <f t="shared" si="6"/>
        <v>0</v>
      </c>
      <c r="H119" s="473"/>
      <c r="I119" s="501">
        <f t="shared" si="5"/>
        <v>0</v>
      </c>
      <c r="J119" s="475"/>
      <c r="K119" s="475"/>
      <c r="L119" s="476"/>
    </row>
    <row r="120" spans="1:12" ht="26.25" hidden="1" customHeight="1" x14ac:dyDescent="0.25">
      <c r="A120" s="469"/>
      <c r="B120" s="502"/>
      <c r="C120" s="471"/>
      <c r="D120" s="471"/>
      <c r="E120" s="471"/>
      <c r="F120" s="471"/>
      <c r="G120" s="472">
        <f t="shared" si="6"/>
        <v>0</v>
      </c>
      <c r="H120" s="473"/>
      <c r="I120" s="501">
        <f t="shared" si="5"/>
        <v>0</v>
      </c>
      <c r="J120" s="475"/>
      <c r="K120" s="475"/>
      <c r="L120" s="476"/>
    </row>
    <row r="121" spans="1:12" ht="14.25" hidden="1" x14ac:dyDescent="0.25">
      <c r="A121" s="469"/>
      <c r="B121" s="502"/>
      <c r="C121" s="471"/>
      <c r="D121" s="471"/>
      <c r="E121" s="471"/>
      <c r="F121" s="471"/>
      <c r="G121" s="472">
        <f t="shared" si="6"/>
        <v>0</v>
      </c>
      <c r="H121" s="473"/>
      <c r="I121" s="501">
        <f t="shared" si="5"/>
        <v>0</v>
      </c>
      <c r="J121" s="475"/>
      <c r="K121" s="475"/>
      <c r="L121" s="476"/>
    </row>
    <row r="122" spans="1:12" x14ac:dyDescent="0.25">
      <c r="A122" s="504"/>
      <c r="B122" s="505" t="s">
        <v>943</v>
      </c>
      <c r="C122" s="481">
        <f t="shared" ref="C122:I122" si="7">SUM(C83:C121)</f>
        <v>5987542209627</v>
      </c>
      <c r="D122" s="481">
        <f t="shared" si="7"/>
        <v>324115141833</v>
      </c>
      <c r="E122" s="481">
        <f t="shared" si="7"/>
        <v>0</v>
      </c>
      <c r="F122" s="481">
        <f t="shared" si="7"/>
        <v>0</v>
      </c>
      <c r="G122" s="481">
        <f>SUM(G83:G121)</f>
        <v>0</v>
      </c>
      <c r="H122" s="506">
        <f t="shared" si="7"/>
        <v>0</v>
      </c>
      <c r="I122" s="506">
        <f t="shared" si="7"/>
        <v>0</v>
      </c>
      <c r="J122" s="483"/>
      <c r="K122" s="481"/>
      <c r="L122" s="507"/>
    </row>
    <row r="123" spans="1:12" ht="15.75" thickBot="1" x14ac:dyDescent="0.3">
      <c r="A123" s="2038" t="s">
        <v>944</v>
      </c>
      <c r="B123" s="2039"/>
      <c r="C123" s="508"/>
      <c r="D123" s="509">
        <f>IFERROR(IF(D122&lt;=0,0,(D122/C122)*100),"")</f>
        <v>5.4131583625727977</v>
      </c>
      <c r="E123" s="510"/>
      <c r="F123" s="510"/>
      <c r="G123" s="488">
        <f>IFERROR(IF(G122&lt;=0,0,G122/C122),0)</f>
        <v>0</v>
      </c>
      <c r="H123" s="511">
        <f>IFERROR(IF(H122&lt;=0,0,H122/C122),0)</f>
        <v>0</v>
      </c>
      <c r="I123" s="512">
        <f>IFERROR(IF(I122&lt;=0,0,I122/C122),0)</f>
        <v>0</v>
      </c>
      <c r="J123" s="513"/>
      <c r="K123" s="491"/>
      <c r="L123" s="507"/>
    </row>
    <row r="124" spans="1:12" ht="16.5" customHeight="1" thickTop="1" thickBot="1" x14ac:dyDescent="0.3">
      <c r="A124" s="2015" t="s">
        <v>945</v>
      </c>
      <c r="B124" s="2016"/>
      <c r="C124" s="514"/>
      <c r="D124" s="515"/>
      <c r="E124" s="514"/>
      <c r="F124" s="514"/>
      <c r="G124" s="516">
        <f>IF(G123&gt;=G80,G123,G80)</f>
        <v>0.71724009193373695</v>
      </c>
      <c r="H124" s="517">
        <f>IF(H123&gt;=H80,H123,H80)</f>
        <v>0</v>
      </c>
      <c r="I124" s="517">
        <f>IFERROR(G124+H124,"")</f>
        <v>0.71724009193373695</v>
      </c>
      <c r="J124" s="518"/>
      <c r="K124" s="491"/>
      <c r="L124" s="519"/>
    </row>
    <row r="125" spans="1:12" ht="15.75" customHeight="1" thickTop="1" thickBot="1" x14ac:dyDescent="0.3">
      <c r="A125" s="2015" t="s">
        <v>946</v>
      </c>
      <c r="B125" s="2016"/>
      <c r="C125" s="500"/>
      <c r="D125" s="520"/>
      <c r="E125" s="520"/>
      <c r="F125" s="520"/>
      <c r="G125" s="521">
        <f>IF(G122&gt;=G79,G122,G79)</f>
        <v>4294505324890</v>
      </c>
      <c r="H125" s="521">
        <f>IF(H122&gt;=H79,H122,H79)</f>
        <v>0</v>
      </c>
      <c r="I125" s="506">
        <f>IFERROR(G125+H125,"")</f>
        <v>4294505324890</v>
      </c>
      <c r="J125" s="522"/>
      <c r="K125" s="522"/>
      <c r="L125" s="507"/>
    </row>
    <row r="126" spans="1:12" s="445" customFormat="1" ht="15.75" customHeight="1" x14ac:dyDescent="0.25">
      <c r="A126" s="523"/>
      <c r="B126" s="523"/>
      <c r="C126" s="1591"/>
      <c r="D126" s="524"/>
      <c r="E126" s="524"/>
      <c r="F126" s="524"/>
      <c r="G126" s="525"/>
      <c r="H126" s="525"/>
      <c r="I126" s="526"/>
      <c r="J126" s="527"/>
      <c r="K126" s="527"/>
      <c r="L126" s="528"/>
    </row>
    <row r="127" spans="1:12" s="445" customFormat="1" ht="237.75" customHeight="1" x14ac:dyDescent="0.25">
      <c r="A127" s="2046" t="s">
        <v>947</v>
      </c>
      <c r="B127" s="2046"/>
      <c r="C127" s="2046"/>
      <c r="D127" s="2046"/>
      <c r="E127" s="2046"/>
      <c r="F127" s="2046"/>
      <c r="G127" s="2046"/>
      <c r="H127" s="2046"/>
      <c r="I127" s="2046"/>
      <c r="J127" s="2046"/>
      <c r="K127" s="2046"/>
      <c r="L127" s="2046"/>
    </row>
    <row r="128" spans="1:12" s="445" customFormat="1" ht="14.25" x14ac:dyDescent="0.25">
      <c r="A128" s="529"/>
      <c r="B128" s="529"/>
      <c r="C128" s="529"/>
      <c r="D128" s="529"/>
      <c r="E128" s="529"/>
      <c r="F128" s="529"/>
      <c r="G128" s="529"/>
      <c r="H128" s="529"/>
      <c r="I128" s="529"/>
      <c r="J128" s="529"/>
      <c r="K128" s="529"/>
      <c r="L128" s="529"/>
    </row>
    <row r="129" spans="1:12" s="445" customFormat="1" ht="295.5" customHeight="1" x14ac:dyDescent="0.25">
      <c r="A129" s="2046" t="s">
        <v>948</v>
      </c>
      <c r="B129" s="2046"/>
      <c r="C129" s="2046"/>
      <c r="D129" s="2046"/>
      <c r="E129" s="2046"/>
      <c r="F129" s="2046"/>
      <c r="G129" s="2046"/>
      <c r="H129" s="2046"/>
      <c r="I129" s="2046"/>
      <c r="J129" s="2046"/>
      <c r="K129" s="2046"/>
      <c r="L129" s="2046"/>
    </row>
    <row r="130" spans="1:12" s="445" customFormat="1" ht="14.25" customHeight="1" x14ac:dyDescent="0.25">
      <c r="A130" s="523"/>
      <c r="B130" s="523"/>
      <c r="C130" s="524"/>
      <c r="D130" s="524"/>
      <c r="E130" s="524"/>
      <c r="F130" s="524"/>
      <c r="G130" s="525"/>
      <c r="H130" s="525"/>
      <c r="I130" s="526"/>
      <c r="J130" s="527"/>
      <c r="K130" s="527"/>
      <c r="L130" s="528"/>
    </row>
    <row r="131" spans="1:12" ht="6.75" customHeight="1" x14ac:dyDescent="0.25">
      <c r="A131" s="530"/>
      <c r="B131" s="520"/>
      <c r="C131" s="520"/>
      <c r="D131" s="520"/>
      <c r="E131" s="520"/>
      <c r="F131" s="520"/>
      <c r="G131" s="527"/>
      <c r="H131" s="527"/>
      <c r="I131" s="527"/>
      <c r="J131" s="530"/>
      <c r="K131" s="530"/>
      <c r="L131" s="497"/>
    </row>
    <row r="132" spans="1:12" ht="44.25" customHeight="1" x14ac:dyDescent="0.25">
      <c r="A132" s="2047" t="s">
        <v>949</v>
      </c>
      <c r="B132" s="2048"/>
      <c r="C132" s="2048"/>
      <c r="D132" s="2048"/>
      <c r="E132" s="2048"/>
      <c r="F132" s="2049"/>
      <c r="G132" s="2050"/>
      <c r="H132" s="2050"/>
      <c r="I132" s="2050"/>
      <c r="J132" s="2050"/>
      <c r="K132" s="2050"/>
      <c r="L132" s="2051"/>
    </row>
    <row r="133" spans="1:12" ht="46.5" customHeight="1" thickBot="1" x14ac:dyDescent="0.3">
      <c r="A133" s="531" t="s">
        <v>950</v>
      </c>
      <c r="B133" s="531" t="s">
        <v>951</v>
      </c>
      <c r="C133" s="531" t="s">
        <v>952</v>
      </c>
      <c r="D133" s="531" t="s">
        <v>953</v>
      </c>
      <c r="E133" s="531" t="s">
        <v>954</v>
      </c>
      <c r="F133" s="531" t="s">
        <v>955</v>
      </c>
      <c r="G133" s="324"/>
      <c r="H133" s="532"/>
      <c r="I133" s="533"/>
      <c r="J133" s="533"/>
      <c r="K133" s="324"/>
      <c r="L133" s="534"/>
    </row>
    <row r="134" spans="1:12" ht="69" customHeight="1" thickBot="1" x14ac:dyDescent="0.3">
      <c r="A134" s="535" t="s">
        <v>956</v>
      </c>
      <c r="B134" s="536" t="s">
        <v>957</v>
      </c>
      <c r="C134" s="537" t="s">
        <v>958</v>
      </c>
      <c r="D134" s="537" t="s">
        <v>959</v>
      </c>
      <c r="E134" s="538">
        <v>100</v>
      </c>
      <c r="F134" s="539" t="s">
        <v>499</v>
      </c>
      <c r="G134" s="540"/>
      <c r="H134" s="541"/>
      <c r="I134" s="542"/>
      <c r="J134" s="543"/>
      <c r="K134" s="541"/>
      <c r="L134" s="544"/>
    </row>
    <row r="135" spans="1:12" ht="79.5" customHeight="1" thickBot="1" x14ac:dyDescent="0.3">
      <c r="A135" s="535" t="s">
        <v>960</v>
      </c>
      <c r="B135" s="536" t="s">
        <v>961</v>
      </c>
      <c r="C135" s="537" t="s">
        <v>962</v>
      </c>
      <c r="D135" s="537" t="s">
        <v>963</v>
      </c>
      <c r="E135" s="538">
        <v>75</v>
      </c>
      <c r="F135" s="539" t="s">
        <v>499</v>
      </c>
      <c r="H135" s="440"/>
      <c r="I135" s="440"/>
      <c r="L135" s="497"/>
    </row>
    <row r="136" spans="1:12" ht="81.75" customHeight="1" thickBot="1" x14ac:dyDescent="0.3">
      <c r="A136" s="535" t="s">
        <v>964</v>
      </c>
      <c r="B136" s="536" t="s">
        <v>965</v>
      </c>
      <c r="C136" s="545" t="s">
        <v>966</v>
      </c>
      <c r="D136" s="545" t="s">
        <v>967</v>
      </c>
      <c r="E136" s="538">
        <v>0</v>
      </c>
      <c r="F136" s="539" t="s">
        <v>514</v>
      </c>
      <c r="H136" s="440"/>
      <c r="I136" s="440"/>
      <c r="L136" s="497"/>
    </row>
    <row r="137" spans="1:12" ht="84.75" customHeight="1" thickBot="1" x14ac:dyDescent="0.3">
      <c r="A137" s="535" t="s">
        <v>968</v>
      </c>
      <c r="B137" s="546"/>
      <c r="C137" s="545" t="s">
        <v>967</v>
      </c>
      <c r="D137" s="545" t="s">
        <v>967</v>
      </c>
      <c r="E137" s="538">
        <v>0</v>
      </c>
      <c r="F137" s="539" t="s">
        <v>514</v>
      </c>
      <c r="H137" s="440"/>
      <c r="I137" s="440"/>
      <c r="L137" s="497"/>
    </row>
    <row r="138" spans="1:12" ht="24" customHeight="1" x14ac:dyDescent="0.25">
      <c r="A138" s="547"/>
      <c r="B138" s="548"/>
      <c r="C138" s="549"/>
      <c r="D138" s="549"/>
      <c r="E138" s="548"/>
      <c r="F138" s="548"/>
      <c r="H138" s="440"/>
      <c r="I138" s="440"/>
      <c r="L138" s="497"/>
    </row>
    <row r="139" spans="1:12" ht="33.75" customHeight="1" x14ac:dyDescent="0.25">
      <c r="A139" s="2040" t="s">
        <v>969</v>
      </c>
      <c r="B139" s="2041"/>
      <c r="C139" s="2041"/>
      <c r="D139" s="2041"/>
      <c r="E139" s="2041"/>
      <c r="F139" s="2041"/>
      <c r="G139" s="2041"/>
      <c r="H139" s="2041"/>
      <c r="I139" s="2041"/>
      <c r="J139" s="2041"/>
      <c r="K139" s="2041"/>
      <c r="L139" s="550"/>
    </row>
    <row r="140" spans="1:12" ht="61.5" customHeight="1" x14ac:dyDescent="0.25">
      <c r="A140" s="2042" t="s">
        <v>970</v>
      </c>
      <c r="B140" s="2042"/>
      <c r="C140" s="551" t="s">
        <v>971</v>
      </c>
      <c r="D140" s="551" t="s">
        <v>972</v>
      </c>
      <c r="E140" s="552" t="s">
        <v>973</v>
      </c>
      <c r="F140" s="553" t="s">
        <v>971</v>
      </c>
      <c r="G140" s="551" t="s">
        <v>972</v>
      </c>
      <c r="H140" s="554"/>
      <c r="I140" s="552" t="s">
        <v>974</v>
      </c>
      <c r="J140" s="551" t="s">
        <v>971</v>
      </c>
      <c r="K140" s="551" t="s">
        <v>972</v>
      </c>
      <c r="L140" s="550"/>
    </row>
    <row r="141" spans="1:12" ht="95.25" customHeight="1" x14ac:dyDescent="0.25">
      <c r="A141" s="2043" t="s">
        <v>975</v>
      </c>
      <c r="B141" s="2044"/>
      <c r="C141" s="555">
        <f>G79/I150</f>
        <v>23.908003064457898</v>
      </c>
      <c r="D141" s="555">
        <f>G80/H150</f>
        <v>23.908003064457898</v>
      </c>
      <c r="E141" s="556" t="s">
        <v>976</v>
      </c>
      <c r="F141" s="555">
        <f>H79/I150</f>
        <v>0</v>
      </c>
      <c r="G141" s="555">
        <f>H80/H150</f>
        <v>0</v>
      </c>
      <c r="H141" s="554"/>
      <c r="I141" s="556" t="s">
        <v>977</v>
      </c>
      <c r="J141" s="555">
        <f>I79/I150</f>
        <v>23.908003064457898</v>
      </c>
      <c r="K141" s="555">
        <f>I80/H150</f>
        <v>23.908003064457898</v>
      </c>
      <c r="L141" s="550"/>
    </row>
    <row r="142" spans="1:12" ht="106.5" customHeight="1" x14ac:dyDescent="0.25">
      <c r="A142" s="2043" t="s">
        <v>978</v>
      </c>
      <c r="B142" s="2044"/>
      <c r="C142" s="555">
        <f>G122/I150</f>
        <v>0</v>
      </c>
      <c r="D142" s="555">
        <f>G123/H150</f>
        <v>0</v>
      </c>
      <c r="E142" s="556" t="s">
        <v>979</v>
      </c>
      <c r="F142" s="555">
        <f>H122/I150</f>
        <v>0</v>
      </c>
      <c r="G142" s="555">
        <f>H123/H150</f>
        <v>0</v>
      </c>
      <c r="H142" s="554"/>
      <c r="I142" s="556" t="s">
        <v>980</v>
      </c>
      <c r="J142" s="555">
        <f>I122/I150</f>
        <v>0</v>
      </c>
      <c r="K142" s="555">
        <f>I123/H150</f>
        <v>0</v>
      </c>
      <c r="L142" s="550"/>
    </row>
    <row r="143" spans="1:12" ht="18" x14ac:dyDescent="0.25">
      <c r="A143" s="557"/>
      <c r="B143" s="558"/>
      <c r="C143" s="558"/>
      <c r="D143" s="558"/>
      <c r="E143" s="558"/>
      <c r="G143" s="559"/>
      <c r="H143" s="440"/>
      <c r="I143" s="559"/>
      <c r="L143" s="550"/>
    </row>
    <row r="144" spans="1:12" ht="66.75" customHeight="1" x14ac:dyDescent="0.25">
      <c r="A144" s="2045" t="s">
        <v>981</v>
      </c>
      <c r="B144" s="2045"/>
      <c r="C144" s="560">
        <f>IF(C141&gt;C142,C141,C142)</f>
        <v>23.908003064457898</v>
      </c>
      <c r="D144" s="560">
        <f>IF(D141&gt;D142,D141,D142)</f>
        <v>23.908003064457898</v>
      </c>
      <c r="E144" s="561" t="s">
        <v>981</v>
      </c>
      <c r="F144" s="560">
        <f>IF(F141&gt;F142,F141,F142)</f>
        <v>0</v>
      </c>
      <c r="G144" s="560">
        <f>IF(G141&gt;G142,G141,G142)</f>
        <v>0</v>
      </c>
      <c r="H144" s="562"/>
      <c r="I144" s="563" t="s">
        <v>981</v>
      </c>
      <c r="J144" s="560">
        <f>IF(J141&gt;J142,J141,J142)</f>
        <v>23.908003064457898</v>
      </c>
      <c r="K144" s="560">
        <f>IF(K141&gt;K142,K141,K142)</f>
        <v>23.908003064457898</v>
      </c>
      <c r="L144" s="550"/>
    </row>
    <row r="145" spans="1:12" ht="18" x14ac:dyDescent="0.25">
      <c r="A145" s="564"/>
      <c r="B145" s="564"/>
      <c r="C145" s="562"/>
      <c r="D145" s="562"/>
      <c r="E145" s="565"/>
      <c r="F145" s="562"/>
      <c r="G145" s="562"/>
      <c r="H145" s="562"/>
      <c r="I145" s="566"/>
      <c r="J145" s="562"/>
      <c r="K145" s="562"/>
      <c r="L145" s="550"/>
    </row>
    <row r="146" spans="1:12" ht="66.75" customHeight="1" x14ac:dyDescent="0.25">
      <c r="A146" s="2012" t="s">
        <v>982</v>
      </c>
      <c r="B146" s="2012"/>
      <c r="C146" s="2012"/>
      <c r="D146" s="2012"/>
      <c r="E146" s="2012"/>
      <c r="F146" s="2012"/>
      <c r="G146" s="2012"/>
      <c r="H146" s="562"/>
      <c r="I146" s="566"/>
      <c r="J146" s="562"/>
      <c r="K146" s="562"/>
      <c r="L146" s="550"/>
    </row>
    <row r="147" spans="1:12" ht="18" x14ac:dyDescent="0.25">
      <c r="A147" s="557"/>
      <c r="B147" s="558"/>
      <c r="C147" s="558"/>
      <c r="D147" s="558"/>
      <c r="E147" s="558"/>
      <c r="G147" s="559"/>
      <c r="H147" s="440"/>
      <c r="I147" s="559"/>
      <c r="L147" s="550"/>
    </row>
    <row r="148" spans="1:12" ht="76.5" customHeight="1" x14ac:dyDescent="0.25">
      <c r="A148" s="557"/>
      <c r="B148" s="558"/>
      <c r="C148" s="558"/>
      <c r="D148" s="2059" t="s">
        <v>983</v>
      </c>
      <c r="E148" s="2060"/>
      <c r="F148" s="2060"/>
      <c r="G148" s="2060"/>
      <c r="H148" s="2060"/>
      <c r="I148" s="2061"/>
      <c r="L148" s="550"/>
    </row>
    <row r="149" spans="1:12" ht="57.75" customHeight="1" x14ac:dyDescent="0.25">
      <c r="A149" s="557"/>
      <c r="B149" s="558"/>
      <c r="C149" s="558"/>
      <c r="D149" s="354" t="s">
        <v>726</v>
      </c>
      <c r="E149" s="567" t="s">
        <v>711</v>
      </c>
      <c r="F149" s="568" t="s">
        <v>727</v>
      </c>
      <c r="G149" s="569" t="s">
        <v>984</v>
      </c>
      <c r="H149" s="354" t="s">
        <v>729</v>
      </c>
      <c r="I149" s="570" t="s">
        <v>730</v>
      </c>
      <c r="L149" s="550"/>
    </row>
    <row r="150" spans="1:12" ht="18" x14ac:dyDescent="0.25">
      <c r="A150" s="557"/>
      <c r="B150" s="558"/>
      <c r="C150" s="558"/>
      <c r="D150" s="571">
        <f>+'MATERIALIDAD FINANCIERA'!N51</f>
        <v>1</v>
      </c>
      <c r="E150" s="572" t="str">
        <f>+'MATERIALIDAD FINANCIERA'!O51</f>
        <v>Entre &gt;2,3% y &lt;=3%</v>
      </c>
      <c r="F150" s="1592" t="str">
        <f>+'MATERIALIDAD FINANCIERA'!P51</f>
        <v>Activos</v>
      </c>
      <c r="G150" s="573">
        <f>+'MATERIALIDAD FINANCIERA'!Q51</f>
        <v>5987542209627</v>
      </c>
      <c r="H150" s="572" t="str">
        <f>+'MATERIALIDAD FINANCIERA'!R51</f>
        <v>3%</v>
      </c>
      <c r="I150" s="574">
        <f>+'MATERIALIDAD FINANCIERA'!S51</f>
        <v>179626266288.81</v>
      </c>
      <c r="L150" s="550"/>
    </row>
    <row r="151" spans="1:12" ht="18" x14ac:dyDescent="0.25">
      <c r="A151" s="557"/>
      <c r="B151" s="558"/>
      <c r="C151" s="558"/>
      <c r="D151" s="558"/>
      <c r="E151" s="558"/>
      <c r="G151" s="559"/>
      <c r="H151" s="440"/>
      <c r="I151" s="559"/>
      <c r="L151" s="550"/>
    </row>
    <row r="152" spans="1:12" ht="54" customHeight="1" x14ac:dyDescent="0.25">
      <c r="B152" s="558"/>
      <c r="C152" s="558"/>
      <c r="D152" s="2096" t="s">
        <v>985</v>
      </c>
      <c r="E152" s="2096"/>
      <c r="F152" s="2096"/>
      <c r="G152" s="2096"/>
      <c r="H152" s="2096"/>
      <c r="I152" s="2096"/>
      <c r="L152" s="550"/>
    </row>
    <row r="153" spans="1:12" ht="18" x14ac:dyDescent="0.25">
      <c r="A153" s="557"/>
      <c r="B153" s="558"/>
      <c r="C153" s="558"/>
      <c r="D153" s="558"/>
      <c r="E153" s="558"/>
      <c r="G153" s="559"/>
      <c r="H153" s="440"/>
      <c r="I153" s="559"/>
      <c r="L153" s="550"/>
    </row>
    <row r="154" spans="1:12" ht="18.75" thickBot="1" x14ac:dyDescent="0.3">
      <c r="A154" s="557"/>
      <c r="B154" s="558"/>
      <c r="C154" s="558"/>
      <c r="D154" s="558"/>
      <c r="E154" s="558"/>
      <c r="G154" s="559"/>
      <c r="H154" s="440"/>
      <c r="I154" s="559"/>
      <c r="L154" s="550"/>
    </row>
    <row r="155" spans="1:12" ht="39.75" customHeight="1" thickBot="1" x14ac:dyDescent="0.3">
      <c r="A155" s="2097" t="s">
        <v>986</v>
      </c>
      <c r="B155" s="2098"/>
      <c r="C155" s="2098"/>
      <c r="D155" s="2098"/>
      <c r="E155" s="2098"/>
      <c r="F155" s="2099"/>
      <c r="G155" s="2062" t="s">
        <v>987</v>
      </c>
      <c r="H155" s="2063"/>
      <c r="I155" s="2063"/>
      <c r="J155" s="2064"/>
      <c r="K155" s="575"/>
      <c r="L155" s="497"/>
    </row>
    <row r="156" spans="1:12" ht="59.25" customHeight="1" thickBot="1" x14ac:dyDescent="0.3">
      <c r="A156" s="2065" t="s">
        <v>988</v>
      </c>
      <c r="B156" s="2066"/>
      <c r="C156" s="2066"/>
      <c r="D156" s="2066"/>
      <c r="E156" s="2066"/>
      <c r="F156" s="2067"/>
      <c r="G156" s="2068" t="s">
        <v>951</v>
      </c>
      <c r="H156" s="2069"/>
      <c r="I156" s="576" t="s">
        <v>952</v>
      </c>
      <c r="J156" s="576" t="s">
        <v>989</v>
      </c>
      <c r="K156" s="577"/>
      <c r="L156" s="497"/>
    </row>
    <row r="157" spans="1:12" ht="63" customHeight="1" thickBot="1" x14ac:dyDescent="0.3">
      <c r="A157" s="2052" t="s">
        <v>990</v>
      </c>
      <c r="B157" s="2053"/>
      <c r="C157" s="2053"/>
      <c r="D157" s="2053"/>
      <c r="E157" s="2053"/>
      <c r="F157" s="2054"/>
      <c r="G157" s="578" t="s">
        <v>991</v>
      </c>
      <c r="H157" s="579" t="str">
        <f>IFERROR(IF(C144&lt;=1,"SI","NO"),"")</f>
        <v>NO</v>
      </c>
      <c r="I157" s="579" t="str">
        <f>IFERROR(IF(F144&lt;=1,"SI","NO"),"")</f>
        <v>SI</v>
      </c>
      <c r="J157" s="579" t="str">
        <f>IFERROR(IF(J144&lt;=1,"SI","NO"),"")</f>
        <v>NO</v>
      </c>
      <c r="K157" s="580"/>
      <c r="L157" s="497"/>
    </row>
    <row r="158" spans="1:12" ht="50.25" customHeight="1" thickBot="1" x14ac:dyDescent="0.3">
      <c r="A158" s="2070" t="s">
        <v>992</v>
      </c>
      <c r="B158" s="2071"/>
      <c r="C158" s="2071"/>
      <c r="D158" s="2071"/>
      <c r="E158" s="2071"/>
      <c r="F158" s="2072"/>
      <c r="G158" s="578" t="s">
        <v>993</v>
      </c>
      <c r="H158" s="579" t="str">
        <f>IFERROR(IF(AND(C144&gt;=1,C144&lt;5),"SI","NO"),"")</f>
        <v>NO</v>
      </c>
      <c r="I158" s="579" t="str">
        <f>IFERROR(IF(AND(F144&gt;=1,F144&lt;5),"SI","NO"),"")</f>
        <v>NO</v>
      </c>
      <c r="J158" s="579" t="str">
        <f>IFERROR(IF(AND(J144&gt;1,J144&lt;5),"SI","NO"),"")</f>
        <v>NO</v>
      </c>
      <c r="K158" s="580"/>
      <c r="L158" s="497"/>
    </row>
    <row r="159" spans="1:12" ht="54.75" customHeight="1" thickBot="1" x14ac:dyDescent="0.3">
      <c r="A159" s="2052" t="s">
        <v>994</v>
      </c>
      <c r="B159" s="2053"/>
      <c r="C159" s="2053"/>
      <c r="D159" s="2053"/>
      <c r="E159" s="2053"/>
      <c r="F159" s="2054"/>
      <c r="G159" s="578" t="s">
        <v>995</v>
      </c>
      <c r="H159" s="579" t="str">
        <f>IFERROR(IF(C144&gt;5,"SI","NO"),"")</f>
        <v>SI</v>
      </c>
      <c r="I159" s="579" t="str">
        <f>IFERROR(IF(F144&gt;5,"SI","NO"),"")</f>
        <v>NO</v>
      </c>
      <c r="J159" s="579" t="str">
        <f>IFERROR(IF(J144&gt;5,"SI","NO"),"")</f>
        <v>SI</v>
      </c>
      <c r="K159" s="580"/>
      <c r="L159" s="497"/>
    </row>
    <row r="160" spans="1:12" ht="94.5" customHeight="1" x14ac:dyDescent="0.25">
      <c r="A160" s="2055"/>
      <c r="B160" s="2055"/>
      <c r="C160" s="2055"/>
      <c r="D160" s="2055"/>
      <c r="E160" s="2055"/>
      <c r="F160" s="2055"/>
      <c r="G160" s="581" t="s">
        <v>996</v>
      </c>
      <c r="H160" s="582" t="str">
        <f>IF(J144=J141,IF(C141&gt;=F141,"NO","SI"),IF(J144=J142,IF(C142&gt;=F142,"NO","SI"),""))</f>
        <v>NO</v>
      </c>
      <c r="I160" s="582" t="str">
        <f>IF(K144=K141,IF(D141&gt;=G141,"PREDOMINA INCORRECCIONES","PREDOMINA IMPOSIBILIDADES"),IF(K144=K142,IF(D142&gt;=G142,"PREDOMINA INCORRECCIONES","PREDOMINA IMPOSIBILIDADES"),""))</f>
        <v>PREDOMINA INCORRECCIONES</v>
      </c>
      <c r="L160" s="497"/>
    </row>
    <row r="161" spans="1:13" ht="151.5" customHeight="1" x14ac:dyDescent="0.25">
      <c r="B161" s="1587"/>
      <c r="C161" s="1587"/>
      <c r="D161" s="1587"/>
      <c r="E161" s="1587"/>
      <c r="F161" s="1587"/>
      <c r="G161" s="2056" t="s">
        <v>997</v>
      </c>
      <c r="H161" s="2056"/>
      <c r="I161" s="2056"/>
      <c r="J161" s="2056"/>
      <c r="L161" s="497"/>
    </row>
    <row r="162" spans="1:13" s="445" customFormat="1" ht="24" thickBot="1" x14ac:dyDescent="0.3">
      <c r="A162" s="584"/>
      <c r="B162" s="585"/>
      <c r="C162" s="585"/>
      <c r="D162" s="585"/>
      <c r="E162" s="585"/>
      <c r="F162" s="585"/>
      <c r="G162" s="586"/>
      <c r="H162" s="587"/>
      <c r="I162" s="587"/>
      <c r="L162" s="528"/>
    </row>
    <row r="163" spans="1:13" ht="87.75" customHeight="1" thickBot="1" x14ac:dyDescent="0.3">
      <c r="A163" s="2057" t="s">
        <v>998</v>
      </c>
      <c r="B163" s="2057"/>
      <c r="C163" s="2057"/>
      <c r="D163" s="2057"/>
      <c r="E163" s="2057"/>
      <c r="F163" s="588" t="s">
        <v>999</v>
      </c>
      <c r="G163" s="589" t="str">
        <f>IF(J157="SI","Limpia o Sin Salvedades",IF(J158="SI","Con Salvedades",IF(AND(J159="SI",H160="NO"),"Negativa",IF(AND(J159="SI",H160="SI"),"Abstención",""))))</f>
        <v>Negativa</v>
      </c>
      <c r="H163" s="590">
        <f>IF(G163="","",IF(OR(G163="ABSTENCIÓN",G163="NEGATIVA"),0%,IF(G163="LIMPIA O SIN SALVEDADES",100%,75%)))</f>
        <v>0</v>
      </c>
      <c r="I163" s="591"/>
      <c r="J163" s="592"/>
      <c r="K163" s="593"/>
      <c r="L163" s="497"/>
    </row>
    <row r="164" spans="1:13" ht="50.25" customHeight="1" thickBot="1" x14ac:dyDescent="0.3">
      <c r="A164" s="2058"/>
      <c r="B164" s="2058"/>
      <c r="C164" s="2058"/>
      <c r="D164" s="2058"/>
      <c r="E164" s="2058"/>
      <c r="F164" s="594" t="s">
        <v>179</v>
      </c>
      <c r="G164" s="595"/>
      <c r="H164" s="596" t="str">
        <f>IF(H163="","",IF(H163&gt;=75%,"EFICAZ","INEFICAZ"))</f>
        <v>INEFICAZ</v>
      </c>
      <c r="I164" s="597"/>
      <c r="J164" s="598"/>
      <c r="K164" s="599"/>
      <c r="L164" s="600"/>
    </row>
    <row r="165" spans="1:13" s="445" customFormat="1" ht="64.5" customHeight="1" x14ac:dyDescent="0.25">
      <c r="A165" s="2096" t="s">
        <v>1000</v>
      </c>
      <c r="B165" s="2096"/>
      <c r="C165" s="2096"/>
      <c r="D165" s="2096"/>
      <c r="E165" s="2096"/>
      <c r="F165" s="2096"/>
      <c r="G165" s="2096"/>
      <c r="H165" s="2096"/>
      <c r="I165" s="591"/>
      <c r="J165" s="601"/>
      <c r="K165" s="593"/>
    </row>
    <row r="166" spans="1:13" x14ac:dyDescent="0.25">
      <c r="J166" s="442"/>
      <c r="K166" s="442"/>
    </row>
    <row r="167" spans="1:13" x14ac:dyDescent="0.25">
      <c r="J167" s="442"/>
      <c r="K167" s="442"/>
    </row>
    <row r="168" spans="1:13" ht="14.25" customHeight="1" x14ac:dyDescent="0.25">
      <c r="A168" s="2075" t="s">
        <v>748</v>
      </c>
      <c r="B168" s="2076"/>
      <c r="C168" s="2076"/>
      <c r="D168" s="2076"/>
      <c r="E168" s="2076"/>
      <c r="F168" s="2076"/>
      <c r="G168" s="2076"/>
      <c r="H168" s="2076"/>
      <c r="I168" s="2076"/>
      <c r="J168" s="2076"/>
      <c r="K168" s="2076"/>
      <c r="L168" s="2076"/>
      <c r="M168" s="2077"/>
    </row>
    <row r="169" spans="1:13" ht="14.25" customHeight="1" x14ac:dyDescent="0.25">
      <c r="A169" s="2078"/>
      <c r="B169" s="2079"/>
      <c r="C169" s="2079"/>
      <c r="D169" s="2079"/>
      <c r="E169" s="2079"/>
      <c r="F169" s="2079"/>
      <c r="G169" s="2079"/>
      <c r="H169" s="2079"/>
      <c r="I169" s="2079"/>
      <c r="J169" s="2079"/>
      <c r="K169" s="2079"/>
      <c r="L169" s="2079"/>
      <c r="M169" s="2080"/>
    </row>
    <row r="170" spans="1:13" ht="14.25" customHeight="1" x14ac:dyDescent="0.25">
      <c r="A170" s="2081"/>
      <c r="B170" s="2082"/>
      <c r="C170" s="2082"/>
      <c r="D170" s="2082"/>
      <c r="E170" s="2082"/>
      <c r="F170" s="2082"/>
      <c r="G170" s="2082"/>
      <c r="H170" s="2082"/>
      <c r="I170" s="2082"/>
      <c r="J170" s="2082"/>
      <c r="K170" s="2082"/>
      <c r="L170" s="2082"/>
      <c r="M170" s="2083"/>
    </row>
    <row r="171" spans="1:13" x14ac:dyDescent="0.25">
      <c r="A171" s="1941" t="s">
        <v>749</v>
      </c>
      <c r="B171" s="1942"/>
      <c r="C171" s="1942"/>
      <c r="D171" s="1942"/>
      <c r="E171" s="1942"/>
      <c r="F171" s="1942"/>
      <c r="G171" s="1942"/>
      <c r="H171" s="1942"/>
      <c r="I171" s="1942"/>
      <c r="J171" s="1943"/>
      <c r="K171" s="2074" t="s">
        <v>750</v>
      </c>
      <c r="L171" s="2074"/>
      <c r="M171" s="2074"/>
    </row>
    <row r="172" spans="1:13" x14ac:dyDescent="0.25">
      <c r="A172" s="2074" t="s">
        <v>751</v>
      </c>
      <c r="B172" s="2074"/>
      <c r="C172" s="2074"/>
      <c r="D172" s="2074"/>
      <c r="E172" s="2074"/>
      <c r="F172" s="2074"/>
      <c r="G172" s="2074"/>
      <c r="H172" s="2074"/>
      <c r="I172" s="2074"/>
      <c r="J172" s="2074"/>
      <c r="K172" s="2074"/>
      <c r="L172" s="2074"/>
      <c r="M172" s="2074"/>
    </row>
    <row r="173" spans="1:13" ht="14.25" customHeight="1" x14ac:dyDescent="0.25">
      <c r="A173" s="2084" t="s">
        <v>1902</v>
      </c>
      <c r="B173" s="2085"/>
      <c r="C173" s="2085"/>
      <c r="D173" s="2085"/>
      <c r="E173" s="2086"/>
      <c r="F173" s="2090" t="s">
        <v>1903</v>
      </c>
      <c r="G173" s="2091"/>
      <c r="H173" s="2091"/>
      <c r="I173" s="2091"/>
      <c r="J173" s="2092"/>
      <c r="K173" s="2074" t="s">
        <v>752</v>
      </c>
      <c r="L173" s="2074"/>
      <c r="M173" s="2074"/>
    </row>
    <row r="174" spans="1:13" ht="14.25" customHeight="1" x14ac:dyDescent="0.25">
      <c r="A174" s="2087"/>
      <c r="B174" s="2088"/>
      <c r="C174" s="2088"/>
      <c r="D174" s="2088"/>
      <c r="E174" s="2089"/>
      <c r="F174" s="2093"/>
      <c r="G174" s="2094"/>
      <c r="H174" s="2094"/>
      <c r="I174" s="2094"/>
      <c r="J174" s="2095"/>
      <c r="K174" s="2074"/>
      <c r="L174" s="2074"/>
      <c r="M174" s="2074"/>
    </row>
    <row r="175" spans="1:13" x14ac:dyDescent="0.25">
      <c r="A175" s="2074" t="s">
        <v>753</v>
      </c>
      <c r="B175" s="2074"/>
      <c r="C175" s="2074"/>
      <c r="D175" s="2074"/>
      <c r="E175" s="2074"/>
      <c r="F175" s="2074"/>
      <c r="G175" s="2074"/>
      <c r="H175" s="2074"/>
      <c r="I175" s="2074"/>
      <c r="J175" s="2074"/>
      <c r="K175" s="2074"/>
      <c r="L175" s="2074"/>
      <c r="M175" s="2074"/>
    </row>
    <row r="176" spans="1:13" x14ac:dyDescent="0.25">
      <c r="A176" s="2074" t="s">
        <v>1904</v>
      </c>
      <c r="B176" s="2074"/>
      <c r="C176" s="2074"/>
      <c r="D176" s="2074"/>
      <c r="E176" s="2074"/>
      <c r="F176" s="1976" t="s">
        <v>1905</v>
      </c>
      <c r="G176" s="1977"/>
      <c r="H176" s="1941" t="s">
        <v>754</v>
      </c>
      <c r="I176" s="1942"/>
      <c r="J176" s="1943"/>
      <c r="K176" s="2074" t="s">
        <v>755</v>
      </c>
      <c r="L176" s="2074"/>
      <c r="M176" s="2074"/>
    </row>
    <row r="177" spans="10:11" x14ac:dyDescent="0.25">
      <c r="J177" s="442"/>
      <c r="K177" s="442"/>
    </row>
    <row r="178" spans="10:11" x14ac:dyDescent="0.25">
      <c r="J178" s="442"/>
      <c r="K178" s="442"/>
    </row>
    <row r="179" spans="10:11" x14ac:dyDescent="0.25">
      <c r="J179" s="442"/>
      <c r="K179" s="442"/>
    </row>
    <row r="180" spans="10:11" x14ac:dyDescent="0.25">
      <c r="J180" s="442"/>
      <c r="K180" s="442"/>
    </row>
    <row r="181" spans="10:11" x14ac:dyDescent="0.25">
      <c r="J181" s="442"/>
      <c r="K181" s="442"/>
    </row>
    <row r="182" spans="10:11" x14ac:dyDescent="0.25">
      <c r="J182" s="442"/>
      <c r="K182" s="442"/>
    </row>
    <row r="183" spans="10:11" x14ac:dyDescent="0.25">
      <c r="J183" s="442"/>
      <c r="K183" s="442"/>
    </row>
    <row r="184" spans="10:11" x14ac:dyDescent="0.25">
      <c r="J184" s="442"/>
      <c r="K184" s="442"/>
    </row>
    <row r="185" spans="10:11" x14ac:dyDescent="0.25">
      <c r="J185" s="442"/>
      <c r="K185" s="442"/>
    </row>
    <row r="186" spans="10:11" x14ac:dyDescent="0.25">
      <c r="J186" s="442"/>
      <c r="K186" s="442"/>
    </row>
    <row r="187" spans="10:11" x14ac:dyDescent="0.25">
      <c r="J187" s="442"/>
      <c r="K187" s="442"/>
    </row>
    <row r="188" spans="10:11" x14ac:dyDescent="0.25">
      <c r="J188" s="442"/>
      <c r="K188" s="442"/>
    </row>
    <row r="189" spans="10:11" ht="21.75" customHeight="1" x14ac:dyDescent="0.25">
      <c r="J189" s="442"/>
      <c r="K189" s="442"/>
    </row>
    <row r="190" spans="10:11" x14ac:dyDescent="0.25">
      <c r="J190" s="442"/>
      <c r="K190" s="442"/>
    </row>
    <row r="191" spans="10:11" x14ac:dyDescent="0.25">
      <c r="J191" s="442"/>
      <c r="K191" s="442"/>
    </row>
    <row r="192" spans="10:11" x14ac:dyDescent="0.25">
      <c r="J192" s="442"/>
      <c r="K192" s="442"/>
    </row>
    <row r="193" spans="1:11" x14ac:dyDescent="0.25">
      <c r="A193" s="602" t="s">
        <v>1001</v>
      </c>
      <c r="B193" s="603" t="s">
        <v>911</v>
      </c>
      <c r="J193" s="442"/>
      <c r="K193" s="442"/>
    </row>
    <row r="194" spans="1:11" x14ac:dyDescent="0.25">
      <c r="A194" s="602"/>
      <c r="B194" s="604" t="s">
        <v>914</v>
      </c>
      <c r="J194" s="442"/>
      <c r="K194" s="442"/>
    </row>
    <row r="195" spans="1:11" x14ac:dyDescent="0.25">
      <c r="A195" s="440" t="s">
        <v>926</v>
      </c>
      <c r="B195" s="604" t="s">
        <v>1002</v>
      </c>
      <c r="J195" s="442"/>
      <c r="K195" s="442"/>
    </row>
    <row r="196" spans="1:11" x14ac:dyDescent="0.25">
      <c r="A196" s="440" t="s">
        <v>928</v>
      </c>
      <c r="B196" s="604" t="s">
        <v>1003</v>
      </c>
      <c r="J196" s="442"/>
      <c r="K196" s="442"/>
    </row>
    <row r="197" spans="1:11" ht="28.5" x14ac:dyDescent="0.25">
      <c r="A197" s="440" t="s">
        <v>937</v>
      </c>
      <c r="B197" s="604" t="s">
        <v>1004</v>
      </c>
      <c r="J197" s="442"/>
      <c r="K197" s="442"/>
    </row>
    <row r="198" spans="1:11" x14ac:dyDescent="0.25">
      <c r="A198" s="440" t="s">
        <v>1005</v>
      </c>
      <c r="B198" s="604" t="s">
        <v>1006</v>
      </c>
      <c r="J198" s="442"/>
      <c r="K198" s="442"/>
    </row>
    <row r="199" spans="1:11" x14ac:dyDescent="0.25">
      <c r="J199" s="442"/>
      <c r="K199" s="442"/>
    </row>
    <row r="200" spans="1:11" x14ac:dyDescent="0.25">
      <c r="J200" s="442"/>
      <c r="K200" s="442"/>
    </row>
    <row r="201" spans="1:11" x14ac:dyDescent="0.25">
      <c r="J201" s="442"/>
      <c r="K201" s="442"/>
    </row>
    <row r="202" spans="1:11" x14ac:dyDescent="0.25">
      <c r="J202" s="442"/>
      <c r="K202" s="442"/>
    </row>
    <row r="203" spans="1:11" x14ac:dyDescent="0.25">
      <c r="J203" s="442"/>
      <c r="K203" s="442"/>
    </row>
    <row r="204" spans="1:11" x14ac:dyDescent="0.25">
      <c r="J204" s="442"/>
      <c r="K204" s="442"/>
    </row>
    <row r="205" spans="1:11" x14ac:dyDescent="0.25">
      <c r="J205" s="442"/>
      <c r="K205" s="442"/>
    </row>
    <row r="206" spans="1:11" x14ac:dyDescent="0.25">
      <c r="J206" s="442"/>
      <c r="K206" s="442"/>
    </row>
    <row r="207" spans="1:11" x14ac:dyDescent="0.25">
      <c r="J207" s="442"/>
      <c r="K207" s="442"/>
    </row>
    <row r="208" spans="1:11" x14ac:dyDescent="0.25">
      <c r="J208" s="442"/>
      <c r="K208" s="442"/>
    </row>
    <row r="209" spans="10:11" x14ac:dyDescent="0.25">
      <c r="J209" s="442"/>
      <c r="K209" s="442"/>
    </row>
    <row r="210" spans="10:11" x14ac:dyDescent="0.25">
      <c r="J210" s="442"/>
      <c r="K210" s="442"/>
    </row>
    <row r="211" spans="10:11" x14ac:dyDescent="0.25">
      <c r="J211" s="442"/>
      <c r="K211" s="442"/>
    </row>
    <row r="212" spans="10:11" x14ac:dyDescent="0.25">
      <c r="J212" s="442"/>
      <c r="K212" s="442"/>
    </row>
    <row r="213" spans="10:11" x14ac:dyDescent="0.25">
      <c r="J213" s="442"/>
      <c r="K213" s="442"/>
    </row>
    <row r="214" spans="10:11" x14ac:dyDescent="0.25">
      <c r="J214" s="442"/>
      <c r="K214" s="442"/>
    </row>
    <row r="215" spans="10:11" x14ac:dyDescent="0.25">
      <c r="J215" s="442"/>
      <c r="K215" s="442"/>
    </row>
    <row r="216" spans="10:11" x14ac:dyDescent="0.25">
      <c r="J216" s="442"/>
      <c r="K216" s="442"/>
    </row>
    <row r="217" spans="10:11" x14ac:dyDescent="0.25">
      <c r="J217" s="442"/>
      <c r="K217" s="442"/>
    </row>
    <row r="218" spans="10:11" x14ac:dyDescent="0.25">
      <c r="J218" s="442"/>
      <c r="K218" s="442"/>
    </row>
    <row r="219" spans="10:11" x14ac:dyDescent="0.25">
      <c r="J219" s="442"/>
      <c r="K219" s="442"/>
    </row>
    <row r="220" spans="10:11" x14ac:dyDescent="0.25">
      <c r="J220" s="442"/>
      <c r="K220" s="442"/>
    </row>
    <row r="221" spans="10:11" x14ac:dyDescent="0.25">
      <c r="J221" s="442"/>
      <c r="K221" s="442"/>
    </row>
    <row r="222" spans="10:11" x14ac:dyDescent="0.25">
      <c r="J222" s="442"/>
      <c r="K222" s="442"/>
    </row>
    <row r="223" spans="10:11" x14ac:dyDescent="0.25">
      <c r="J223" s="442"/>
      <c r="K223" s="442"/>
    </row>
    <row r="224" spans="10:11" x14ac:dyDescent="0.25">
      <c r="J224" s="442"/>
      <c r="K224" s="442"/>
    </row>
    <row r="225" spans="10:11" x14ac:dyDescent="0.25">
      <c r="J225" s="442"/>
      <c r="K225" s="442"/>
    </row>
    <row r="226" spans="10:11" x14ac:dyDescent="0.25">
      <c r="J226" s="442"/>
      <c r="K226" s="442"/>
    </row>
    <row r="227" spans="10:11" x14ac:dyDescent="0.25">
      <c r="J227" s="442"/>
      <c r="K227" s="442"/>
    </row>
    <row r="228" spans="10:11" x14ac:dyDescent="0.25">
      <c r="J228" s="442"/>
      <c r="K228" s="442"/>
    </row>
    <row r="229" spans="10:11" x14ac:dyDescent="0.25">
      <c r="J229" s="442"/>
      <c r="K229" s="442"/>
    </row>
    <row r="230" spans="10:11" x14ac:dyDescent="0.25">
      <c r="J230" s="442"/>
      <c r="K230" s="442"/>
    </row>
    <row r="231" spans="10:11" x14ac:dyDescent="0.25">
      <c r="J231" s="442"/>
      <c r="K231" s="442"/>
    </row>
    <row r="232" spans="10:11" x14ac:dyDescent="0.25">
      <c r="J232" s="442"/>
      <c r="K232" s="442"/>
    </row>
    <row r="233" spans="10:11" x14ac:dyDescent="0.25">
      <c r="J233" s="442"/>
      <c r="K233" s="442"/>
    </row>
    <row r="234" spans="10:11" x14ac:dyDescent="0.25">
      <c r="J234" s="442"/>
      <c r="K234" s="442"/>
    </row>
    <row r="235" spans="10:11" x14ac:dyDescent="0.25">
      <c r="J235" s="442"/>
      <c r="K235" s="442"/>
    </row>
    <row r="236" spans="10:11" x14ac:dyDescent="0.25">
      <c r="J236" s="442"/>
      <c r="K236" s="442"/>
    </row>
    <row r="237" spans="10:11" x14ac:dyDescent="0.25">
      <c r="J237" s="442"/>
      <c r="K237" s="442"/>
    </row>
    <row r="238" spans="10:11" x14ac:dyDescent="0.25">
      <c r="J238" s="442"/>
      <c r="K238" s="442"/>
    </row>
    <row r="239" spans="10:11" x14ac:dyDescent="0.25">
      <c r="J239" s="442"/>
      <c r="K239" s="442"/>
    </row>
    <row r="240" spans="10:11" x14ac:dyDescent="0.25">
      <c r="J240" s="442"/>
      <c r="K240" s="442"/>
    </row>
    <row r="241" spans="10:11" x14ac:dyDescent="0.25">
      <c r="J241" s="442"/>
      <c r="K241" s="442"/>
    </row>
    <row r="242" spans="10:11" x14ac:dyDescent="0.25">
      <c r="J242" s="442"/>
      <c r="K242" s="442"/>
    </row>
    <row r="243" spans="10:11" x14ac:dyDescent="0.25">
      <c r="J243" s="442"/>
      <c r="K243" s="442"/>
    </row>
    <row r="244" spans="10:11" x14ac:dyDescent="0.25">
      <c r="J244" s="442"/>
      <c r="K244" s="442"/>
    </row>
    <row r="245" spans="10:11" x14ac:dyDescent="0.25">
      <c r="J245" s="442"/>
      <c r="K245" s="442"/>
    </row>
    <row r="246" spans="10:11" x14ac:dyDescent="0.25">
      <c r="J246" s="442"/>
      <c r="K246" s="442"/>
    </row>
    <row r="247" spans="10:11" x14ac:dyDescent="0.25">
      <c r="J247" s="442"/>
      <c r="K247" s="442"/>
    </row>
    <row r="248" spans="10:11" x14ac:dyDescent="0.25">
      <c r="J248" s="442"/>
      <c r="K248" s="442"/>
    </row>
    <row r="249" spans="10:11" x14ac:dyDescent="0.25">
      <c r="J249" s="442"/>
      <c r="K249" s="442"/>
    </row>
    <row r="250" spans="10:11" x14ac:dyDescent="0.25">
      <c r="J250" s="442"/>
      <c r="K250" s="442"/>
    </row>
    <row r="251" spans="10:11" x14ac:dyDescent="0.25">
      <c r="J251" s="442"/>
      <c r="K251" s="442"/>
    </row>
    <row r="252" spans="10:11" x14ac:dyDescent="0.25">
      <c r="J252" s="442"/>
      <c r="K252" s="442"/>
    </row>
    <row r="253" spans="10:11" x14ac:dyDescent="0.25">
      <c r="J253" s="442"/>
      <c r="K253" s="442"/>
    </row>
    <row r="254" spans="10:11" x14ac:dyDescent="0.25">
      <c r="J254" s="442"/>
      <c r="K254" s="442"/>
    </row>
    <row r="255" spans="10:11" x14ac:dyDescent="0.25">
      <c r="J255" s="442"/>
      <c r="K255" s="442"/>
    </row>
    <row r="256" spans="10:11" x14ac:dyDescent="0.25">
      <c r="J256" s="442"/>
      <c r="K256" s="442"/>
    </row>
    <row r="257" spans="10:11" x14ac:dyDescent="0.25">
      <c r="J257" s="442"/>
      <c r="K257" s="442"/>
    </row>
    <row r="258" spans="10:11" x14ac:dyDescent="0.25">
      <c r="J258" s="442"/>
      <c r="K258" s="442"/>
    </row>
    <row r="259" spans="10:11" x14ac:dyDescent="0.25">
      <c r="J259" s="442"/>
      <c r="K259" s="442"/>
    </row>
    <row r="260" spans="10:11" x14ac:dyDescent="0.25">
      <c r="J260" s="442"/>
      <c r="K260" s="442"/>
    </row>
    <row r="261" spans="10:11" x14ac:dyDescent="0.25">
      <c r="J261" s="442"/>
      <c r="K261" s="442"/>
    </row>
    <row r="262" spans="10:11" x14ac:dyDescent="0.25">
      <c r="J262" s="442"/>
      <c r="K262" s="442"/>
    </row>
    <row r="263" spans="10:11" x14ac:dyDescent="0.25">
      <c r="J263" s="442"/>
      <c r="K263" s="442"/>
    </row>
    <row r="264" spans="10:11" x14ac:dyDescent="0.25">
      <c r="J264" s="442"/>
      <c r="K264" s="442"/>
    </row>
    <row r="265" spans="10:11" x14ac:dyDescent="0.25">
      <c r="J265" s="442"/>
      <c r="K265" s="442"/>
    </row>
    <row r="266" spans="10:11" x14ac:dyDescent="0.25">
      <c r="J266" s="442"/>
      <c r="K266" s="442"/>
    </row>
    <row r="267" spans="10:11" x14ac:dyDescent="0.25">
      <c r="J267" s="442"/>
      <c r="K267" s="442"/>
    </row>
    <row r="268" spans="10:11" x14ac:dyDescent="0.25">
      <c r="J268" s="442"/>
      <c r="K268" s="442"/>
    </row>
    <row r="269" spans="10:11" x14ac:dyDescent="0.25">
      <c r="J269" s="442"/>
      <c r="K269" s="442"/>
    </row>
    <row r="270" spans="10:11" x14ac:dyDescent="0.25">
      <c r="J270" s="442"/>
      <c r="K270" s="442"/>
    </row>
    <row r="271" spans="10:11" x14ac:dyDescent="0.25">
      <c r="J271" s="442"/>
      <c r="K271" s="442"/>
    </row>
    <row r="272" spans="10:11" x14ac:dyDescent="0.25">
      <c r="J272" s="442"/>
      <c r="K272" s="442"/>
    </row>
    <row r="273" spans="10:11" x14ac:dyDescent="0.25">
      <c r="J273" s="442"/>
      <c r="K273" s="442"/>
    </row>
    <row r="274" spans="10:11" x14ac:dyDescent="0.25">
      <c r="J274" s="442"/>
      <c r="K274" s="442"/>
    </row>
    <row r="275" spans="10:11" x14ac:dyDescent="0.25">
      <c r="J275" s="442"/>
      <c r="K275" s="442"/>
    </row>
    <row r="276" spans="10:11" x14ac:dyDescent="0.25">
      <c r="J276" s="442"/>
      <c r="K276" s="442"/>
    </row>
    <row r="277" spans="10:11" x14ac:dyDescent="0.25">
      <c r="J277" s="442"/>
      <c r="K277" s="442"/>
    </row>
    <row r="278" spans="10:11" x14ac:dyDescent="0.25">
      <c r="J278" s="442"/>
      <c r="K278" s="442"/>
    </row>
    <row r="279" spans="10:11" x14ac:dyDescent="0.25">
      <c r="J279" s="442"/>
      <c r="K279" s="442"/>
    </row>
    <row r="280" spans="10:11" x14ac:dyDescent="0.25">
      <c r="J280" s="442"/>
      <c r="K280" s="442"/>
    </row>
    <row r="281" spans="10:11" x14ac:dyDescent="0.25">
      <c r="J281" s="442"/>
      <c r="K281" s="442"/>
    </row>
    <row r="282" spans="10:11" x14ac:dyDescent="0.25">
      <c r="J282" s="442"/>
      <c r="K282" s="442"/>
    </row>
    <row r="283" spans="10:11" x14ac:dyDescent="0.25">
      <c r="J283" s="442"/>
      <c r="K283" s="442"/>
    </row>
    <row r="284" spans="10:11" x14ac:dyDescent="0.25">
      <c r="J284" s="442"/>
      <c r="K284" s="442"/>
    </row>
    <row r="285" spans="10:11" x14ac:dyDescent="0.25">
      <c r="J285" s="442"/>
      <c r="K285" s="442"/>
    </row>
    <row r="286" spans="10:11" x14ac:dyDescent="0.25">
      <c r="J286" s="442"/>
      <c r="K286" s="442"/>
    </row>
    <row r="287" spans="10:11" x14ac:dyDescent="0.25">
      <c r="J287" s="442"/>
      <c r="K287" s="442"/>
    </row>
    <row r="288" spans="10:11" x14ac:dyDescent="0.25">
      <c r="J288" s="442"/>
      <c r="K288" s="442"/>
    </row>
    <row r="289" spans="10:11" x14ac:dyDescent="0.25">
      <c r="J289" s="442"/>
      <c r="K289" s="442"/>
    </row>
    <row r="290" spans="10:11" x14ac:dyDescent="0.25">
      <c r="J290" s="442"/>
      <c r="K290" s="442"/>
    </row>
    <row r="291" spans="10:11" x14ac:dyDescent="0.25">
      <c r="J291" s="442"/>
      <c r="K291" s="442"/>
    </row>
    <row r="292" spans="10:11" x14ac:dyDescent="0.25">
      <c r="J292" s="442"/>
      <c r="K292" s="442"/>
    </row>
    <row r="293" spans="10:11" x14ac:dyDescent="0.25">
      <c r="J293" s="442"/>
      <c r="K293" s="442"/>
    </row>
    <row r="294" spans="10:11" x14ac:dyDescent="0.25">
      <c r="J294" s="442"/>
      <c r="K294" s="442"/>
    </row>
    <row r="295" spans="10:11" x14ac:dyDescent="0.25">
      <c r="J295" s="442"/>
      <c r="K295" s="442"/>
    </row>
    <row r="296" spans="10:11" x14ac:dyDescent="0.25">
      <c r="J296" s="442"/>
      <c r="K296" s="442"/>
    </row>
    <row r="297" spans="10:11" x14ac:dyDescent="0.25">
      <c r="J297" s="442"/>
      <c r="K297" s="442"/>
    </row>
    <row r="298" spans="10:11" x14ac:dyDescent="0.25">
      <c r="J298" s="442"/>
      <c r="K298" s="442"/>
    </row>
    <row r="299" spans="10:11" x14ac:dyDescent="0.25">
      <c r="J299" s="442"/>
      <c r="K299" s="442"/>
    </row>
    <row r="300" spans="10:11" x14ac:dyDescent="0.25">
      <c r="J300" s="442"/>
      <c r="K300" s="442"/>
    </row>
    <row r="301" spans="10:11" x14ac:dyDescent="0.25">
      <c r="J301" s="442"/>
      <c r="K301" s="442"/>
    </row>
    <row r="302" spans="10:11" x14ac:dyDescent="0.25">
      <c r="J302" s="442"/>
      <c r="K302" s="442"/>
    </row>
    <row r="303" spans="10:11" x14ac:dyDescent="0.25">
      <c r="J303" s="442"/>
      <c r="K303" s="442"/>
    </row>
    <row r="304" spans="10:11" x14ac:dyDescent="0.25">
      <c r="J304" s="442"/>
      <c r="K304" s="442"/>
    </row>
    <row r="305" spans="10:11" x14ac:dyDescent="0.25">
      <c r="J305" s="442"/>
      <c r="K305" s="442"/>
    </row>
    <row r="306" spans="10:11" x14ac:dyDescent="0.25">
      <c r="J306" s="442"/>
      <c r="K306" s="442"/>
    </row>
    <row r="307" spans="10:11" x14ac:dyDescent="0.25">
      <c r="J307" s="442"/>
      <c r="K307" s="442"/>
    </row>
    <row r="308" spans="10:11" x14ac:dyDescent="0.25">
      <c r="J308" s="442"/>
      <c r="K308" s="442"/>
    </row>
    <row r="309" spans="10:11" x14ac:dyDescent="0.25">
      <c r="J309" s="442"/>
      <c r="K309" s="442"/>
    </row>
    <row r="310" spans="10:11" x14ac:dyDescent="0.25">
      <c r="J310" s="442"/>
      <c r="K310" s="442"/>
    </row>
    <row r="311" spans="10:11" x14ac:dyDescent="0.25">
      <c r="J311" s="442"/>
      <c r="K311" s="442"/>
    </row>
    <row r="312" spans="10:11" x14ac:dyDescent="0.25">
      <c r="J312" s="442"/>
      <c r="K312" s="442"/>
    </row>
    <row r="313" spans="10:11" x14ac:dyDescent="0.25">
      <c r="J313" s="442"/>
      <c r="K313" s="442"/>
    </row>
    <row r="314" spans="10:11" x14ac:dyDescent="0.25">
      <c r="J314" s="442"/>
      <c r="K314" s="442"/>
    </row>
    <row r="315" spans="10:11" x14ac:dyDescent="0.25">
      <c r="J315" s="442"/>
      <c r="K315" s="442"/>
    </row>
    <row r="316" spans="10:11" x14ac:dyDescent="0.25">
      <c r="J316" s="442"/>
      <c r="K316" s="442"/>
    </row>
    <row r="317" spans="10:11" x14ac:dyDescent="0.25">
      <c r="J317" s="442"/>
      <c r="K317" s="442"/>
    </row>
    <row r="318" spans="10:11" x14ac:dyDescent="0.25">
      <c r="J318" s="442"/>
      <c r="K318" s="442"/>
    </row>
    <row r="319" spans="10:11" x14ac:dyDescent="0.25">
      <c r="J319" s="442"/>
      <c r="K319" s="442"/>
    </row>
    <row r="320" spans="10:11" x14ac:dyDescent="0.25">
      <c r="J320" s="442"/>
      <c r="K320" s="442"/>
    </row>
    <row r="321" spans="10:11" x14ac:dyDescent="0.25">
      <c r="J321" s="442"/>
      <c r="K321" s="442"/>
    </row>
    <row r="322" spans="10:11" x14ac:dyDescent="0.25">
      <c r="J322" s="442"/>
      <c r="K322" s="442"/>
    </row>
    <row r="323" spans="10:11" x14ac:dyDescent="0.25">
      <c r="J323" s="442"/>
      <c r="K323" s="442"/>
    </row>
    <row r="324" spans="10:11" x14ac:dyDescent="0.25">
      <c r="J324" s="442"/>
      <c r="K324" s="442"/>
    </row>
    <row r="325" spans="10:11" x14ac:dyDescent="0.25">
      <c r="J325" s="442"/>
      <c r="K325" s="442"/>
    </row>
    <row r="326" spans="10:11" x14ac:dyDescent="0.25">
      <c r="J326" s="442"/>
      <c r="K326" s="442"/>
    </row>
    <row r="327" spans="10:11" x14ac:dyDescent="0.25">
      <c r="J327" s="442"/>
      <c r="K327" s="442"/>
    </row>
    <row r="328" spans="10:11" x14ac:dyDescent="0.25">
      <c r="J328" s="442"/>
      <c r="K328" s="442"/>
    </row>
    <row r="329" spans="10:11" x14ac:dyDescent="0.25">
      <c r="J329" s="442"/>
      <c r="K329" s="442"/>
    </row>
    <row r="330" spans="10:11" x14ac:dyDescent="0.25">
      <c r="J330" s="442"/>
      <c r="K330" s="442"/>
    </row>
    <row r="331" spans="10:11" x14ac:dyDescent="0.25">
      <c r="J331" s="442"/>
      <c r="K331" s="442"/>
    </row>
    <row r="332" spans="10:11" x14ac:dyDescent="0.25">
      <c r="J332" s="442"/>
      <c r="K332" s="442"/>
    </row>
    <row r="333" spans="10:11" x14ac:dyDescent="0.25">
      <c r="J333" s="442"/>
      <c r="K333" s="442"/>
    </row>
    <row r="334" spans="10:11" x14ac:dyDescent="0.25">
      <c r="J334" s="442"/>
      <c r="K334" s="442"/>
    </row>
    <row r="335" spans="10:11" x14ac:dyDescent="0.25">
      <c r="J335" s="442"/>
      <c r="K335" s="442"/>
    </row>
    <row r="336" spans="10:11" x14ac:dyDescent="0.25">
      <c r="J336" s="442"/>
      <c r="K336" s="442"/>
    </row>
    <row r="337" spans="10:11" x14ac:dyDescent="0.25">
      <c r="J337" s="442"/>
      <c r="K337" s="442"/>
    </row>
    <row r="338" spans="10:11" x14ac:dyDescent="0.25">
      <c r="J338" s="442"/>
      <c r="K338" s="442"/>
    </row>
    <row r="339" spans="10:11" x14ac:dyDescent="0.25">
      <c r="J339" s="442"/>
      <c r="K339" s="442"/>
    </row>
    <row r="340" spans="10:11" x14ac:dyDescent="0.25">
      <c r="J340" s="442"/>
      <c r="K340" s="442"/>
    </row>
    <row r="341" spans="10:11" x14ac:dyDescent="0.25">
      <c r="J341" s="442"/>
      <c r="K341" s="442"/>
    </row>
    <row r="342" spans="10:11" x14ac:dyDescent="0.25">
      <c r="J342" s="442"/>
      <c r="K342" s="442"/>
    </row>
    <row r="343" spans="10:11" x14ac:dyDescent="0.25">
      <c r="J343" s="442"/>
      <c r="K343" s="442"/>
    </row>
    <row r="344" spans="10:11" x14ac:dyDescent="0.25">
      <c r="J344" s="442"/>
      <c r="K344" s="442"/>
    </row>
    <row r="345" spans="10:11" x14ac:dyDescent="0.25">
      <c r="J345" s="442"/>
      <c r="K345" s="442"/>
    </row>
    <row r="346" spans="10:11" x14ac:dyDescent="0.25">
      <c r="J346" s="442"/>
      <c r="K346" s="442"/>
    </row>
    <row r="347" spans="10:11" x14ac:dyDescent="0.25">
      <c r="J347" s="442"/>
      <c r="K347" s="442"/>
    </row>
    <row r="348" spans="10:11" x14ac:dyDescent="0.25">
      <c r="J348" s="442"/>
      <c r="K348" s="442"/>
    </row>
    <row r="349" spans="10:11" x14ac:dyDescent="0.25">
      <c r="J349" s="442"/>
      <c r="K349" s="442"/>
    </row>
    <row r="350" spans="10:11" x14ac:dyDescent="0.25">
      <c r="J350" s="442"/>
      <c r="K350" s="442"/>
    </row>
    <row r="351" spans="10:11" x14ac:dyDescent="0.25">
      <c r="J351" s="442"/>
      <c r="K351" s="442"/>
    </row>
    <row r="352" spans="10:11" x14ac:dyDescent="0.25">
      <c r="J352" s="442"/>
      <c r="K352" s="442"/>
    </row>
    <row r="353" spans="10:11" x14ac:dyDescent="0.25">
      <c r="J353" s="442"/>
      <c r="K353" s="442"/>
    </row>
    <row r="354" spans="10:11" x14ac:dyDescent="0.25">
      <c r="J354" s="442"/>
      <c r="K354" s="442"/>
    </row>
    <row r="355" spans="10:11" x14ac:dyDescent="0.25">
      <c r="J355" s="442"/>
      <c r="K355" s="442"/>
    </row>
    <row r="356" spans="10:11" x14ac:dyDescent="0.25">
      <c r="J356" s="442"/>
      <c r="K356" s="442"/>
    </row>
    <row r="357" spans="10:11" x14ac:dyDescent="0.25">
      <c r="J357" s="442"/>
      <c r="K357" s="442"/>
    </row>
    <row r="358" spans="10:11" x14ac:dyDescent="0.25">
      <c r="J358" s="442"/>
      <c r="K358" s="442"/>
    </row>
    <row r="359" spans="10:11" x14ac:dyDescent="0.25">
      <c r="J359" s="442"/>
      <c r="K359" s="442"/>
    </row>
    <row r="360" spans="10:11" x14ac:dyDescent="0.25">
      <c r="J360" s="442"/>
      <c r="K360" s="442"/>
    </row>
    <row r="361" spans="10:11" x14ac:dyDescent="0.25">
      <c r="J361" s="442"/>
      <c r="K361" s="442"/>
    </row>
    <row r="362" spans="10:11" x14ac:dyDescent="0.25">
      <c r="J362" s="442"/>
      <c r="K362" s="442"/>
    </row>
    <row r="363" spans="10:11" x14ac:dyDescent="0.25">
      <c r="J363" s="442"/>
      <c r="K363" s="442"/>
    </row>
    <row r="364" spans="10:11" x14ac:dyDescent="0.25">
      <c r="J364" s="442"/>
      <c r="K364" s="442"/>
    </row>
    <row r="365" spans="10:11" x14ac:dyDescent="0.25">
      <c r="J365" s="442"/>
      <c r="K365" s="442"/>
    </row>
    <row r="366" spans="10:11" x14ac:dyDescent="0.25">
      <c r="J366" s="442"/>
      <c r="K366" s="442"/>
    </row>
    <row r="367" spans="10:11" x14ac:dyDescent="0.25">
      <c r="J367" s="442"/>
      <c r="K367" s="442"/>
    </row>
    <row r="368" spans="10:11" x14ac:dyDescent="0.25">
      <c r="J368" s="442"/>
      <c r="K368" s="442"/>
    </row>
    <row r="369" spans="10:11" x14ac:dyDescent="0.25">
      <c r="J369" s="442"/>
      <c r="K369" s="442"/>
    </row>
    <row r="370" spans="10:11" x14ac:dyDescent="0.25">
      <c r="J370" s="442"/>
      <c r="K370" s="442"/>
    </row>
    <row r="371" spans="10:11" x14ac:dyDescent="0.25">
      <c r="J371" s="442"/>
      <c r="K371" s="442"/>
    </row>
    <row r="372" spans="10:11" x14ac:dyDescent="0.25">
      <c r="J372" s="442"/>
      <c r="K372" s="442"/>
    </row>
    <row r="373" spans="10:11" x14ac:dyDescent="0.25">
      <c r="J373" s="442"/>
      <c r="K373" s="442"/>
    </row>
    <row r="374" spans="10:11" x14ac:dyDescent="0.25">
      <c r="J374" s="442"/>
      <c r="K374" s="442"/>
    </row>
    <row r="375" spans="10:11" x14ac:dyDescent="0.25">
      <c r="J375" s="442"/>
      <c r="K375" s="442"/>
    </row>
    <row r="376" spans="10:11" x14ac:dyDescent="0.25">
      <c r="J376" s="442"/>
      <c r="K376" s="442"/>
    </row>
    <row r="377" spans="10:11" x14ac:dyDescent="0.25">
      <c r="J377" s="442"/>
      <c r="K377" s="442"/>
    </row>
    <row r="378" spans="10:11" x14ac:dyDescent="0.25">
      <c r="J378" s="442"/>
      <c r="K378" s="442"/>
    </row>
    <row r="379" spans="10:11" x14ac:dyDescent="0.25">
      <c r="J379" s="442"/>
      <c r="K379" s="442"/>
    </row>
    <row r="380" spans="10:11" x14ac:dyDescent="0.25">
      <c r="J380" s="442"/>
      <c r="K380" s="442"/>
    </row>
    <row r="381" spans="10:11" x14ac:dyDescent="0.25">
      <c r="J381" s="442"/>
      <c r="K381" s="442"/>
    </row>
    <row r="382" spans="10:11" x14ac:dyDescent="0.25">
      <c r="J382" s="442"/>
      <c r="K382" s="442"/>
    </row>
    <row r="383" spans="10:11" x14ac:dyDescent="0.25">
      <c r="J383" s="442"/>
      <c r="K383" s="442"/>
    </row>
    <row r="384" spans="10:11" x14ac:dyDescent="0.25">
      <c r="J384" s="442"/>
      <c r="K384" s="442"/>
    </row>
    <row r="385" spans="10:11" x14ac:dyDescent="0.25">
      <c r="J385" s="442"/>
      <c r="K385" s="442"/>
    </row>
    <row r="386" spans="10:11" x14ac:dyDescent="0.25">
      <c r="J386" s="442"/>
      <c r="K386" s="442"/>
    </row>
    <row r="387" spans="10:11" x14ac:dyDescent="0.25">
      <c r="J387" s="442"/>
      <c r="K387" s="442"/>
    </row>
    <row r="388" spans="10:11" x14ac:dyDescent="0.25">
      <c r="J388" s="442"/>
      <c r="K388" s="442"/>
    </row>
    <row r="389" spans="10:11" x14ac:dyDescent="0.25">
      <c r="J389" s="442"/>
      <c r="K389" s="442"/>
    </row>
    <row r="390" spans="10:11" x14ac:dyDescent="0.25">
      <c r="J390" s="442"/>
      <c r="K390" s="442"/>
    </row>
    <row r="391" spans="10:11" x14ac:dyDescent="0.25">
      <c r="J391" s="442"/>
      <c r="K391" s="442"/>
    </row>
    <row r="392" spans="10:11" x14ac:dyDescent="0.25">
      <c r="J392" s="442"/>
      <c r="K392" s="442"/>
    </row>
    <row r="393" spans="10:11" x14ac:dyDescent="0.25">
      <c r="J393" s="442"/>
      <c r="K393" s="442"/>
    </row>
    <row r="394" spans="10:11" x14ac:dyDescent="0.25">
      <c r="J394" s="442"/>
      <c r="K394" s="442"/>
    </row>
    <row r="395" spans="10:11" x14ac:dyDescent="0.25">
      <c r="J395" s="442"/>
      <c r="K395" s="442"/>
    </row>
    <row r="396" spans="10:11" x14ac:dyDescent="0.25">
      <c r="J396" s="442"/>
      <c r="K396" s="442"/>
    </row>
    <row r="397" spans="10:11" x14ac:dyDescent="0.25">
      <c r="J397" s="442"/>
      <c r="K397" s="442"/>
    </row>
    <row r="398" spans="10:11" x14ac:dyDescent="0.25">
      <c r="J398" s="442"/>
      <c r="K398" s="442"/>
    </row>
    <row r="399" spans="10:11" x14ac:dyDescent="0.25">
      <c r="J399" s="442"/>
      <c r="K399" s="442"/>
    </row>
    <row r="400" spans="10:11" x14ac:dyDescent="0.25">
      <c r="J400" s="442"/>
      <c r="K400" s="442"/>
    </row>
    <row r="401" spans="10:11" x14ac:dyDescent="0.25">
      <c r="J401" s="442"/>
      <c r="K401" s="442"/>
    </row>
    <row r="402" spans="10:11" x14ac:dyDescent="0.25">
      <c r="J402" s="442"/>
      <c r="K402" s="442"/>
    </row>
    <row r="403" spans="10:11" x14ac:dyDescent="0.25">
      <c r="J403" s="442"/>
      <c r="K403" s="442"/>
    </row>
    <row r="404" spans="10:11" x14ac:dyDescent="0.25">
      <c r="J404" s="442"/>
      <c r="K404" s="442"/>
    </row>
    <row r="405" spans="10:11" x14ac:dyDescent="0.25">
      <c r="J405" s="442"/>
      <c r="K405" s="442"/>
    </row>
    <row r="406" spans="10:11" x14ac:dyDescent="0.25">
      <c r="J406" s="442"/>
      <c r="K406" s="442"/>
    </row>
    <row r="407" spans="10:11" x14ac:dyDescent="0.25">
      <c r="J407" s="442"/>
      <c r="K407" s="442"/>
    </row>
    <row r="408" spans="10:11" x14ac:dyDescent="0.25">
      <c r="J408" s="442"/>
      <c r="K408" s="442"/>
    </row>
    <row r="409" spans="10:11" x14ac:dyDescent="0.25">
      <c r="J409" s="442"/>
      <c r="K409" s="442"/>
    </row>
    <row r="410" spans="10:11" x14ac:dyDescent="0.25">
      <c r="J410" s="442"/>
      <c r="K410" s="442"/>
    </row>
    <row r="411" spans="10:11" x14ac:dyDescent="0.25">
      <c r="J411" s="442"/>
      <c r="K411" s="442"/>
    </row>
    <row r="412" spans="10:11" x14ac:dyDescent="0.25">
      <c r="J412" s="442"/>
      <c r="K412" s="442"/>
    </row>
    <row r="413" spans="10:11" x14ac:dyDescent="0.25">
      <c r="J413" s="442"/>
      <c r="K413" s="442"/>
    </row>
    <row r="414" spans="10:11" x14ac:dyDescent="0.25">
      <c r="J414" s="442"/>
      <c r="K414" s="442"/>
    </row>
    <row r="415" spans="10:11" x14ac:dyDescent="0.25">
      <c r="J415" s="442"/>
      <c r="K415" s="442"/>
    </row>
    <row r="416" spans="10:11" x14ac:dyDescent="0.25">
      <c r="J416" s="442"/>
      <c r="K416" s="442"/>
    </row>
    <row r="417" spans="10:11" x14ac:dyDescent="0.25">
      <c r="J417" s="442"/>
      <c r="K417" s="442"/>
    </row>
    <row r="418" spans="10:11" x14ac:dyDescent="0.25">
      <c r="J418" s="442"/>
      <c r="K418" s="442"/>
    </row>
    <row r="419" spans="10:11" x14ac:dyDescent="0.25">
      <c r="J419" s="442"/>
      <c r="K419" s="442"/>
    </row>
    <row r="420" spans="10:11" x14ac:dyDescent="0.25">
      <c r="J420" s="442"/>
      <c r="K420" s="442"/>
    </row>
    <row r="421" spans="10:11" x14ac:dyDescent="0.25">
      <c r="J421" s="442"/>
      <c r="K421" s="442"/>
    </row>
    <row r="422" spans="10:11" x14ac:dyDescent="0.25">
      <c r="J422" s="442"/>
      <c r="K422" s="442"/>
    </row>
    <row r="423" spans="10:11" x14ac:dyDescent="0.25">
      <c r="J423" s="442"/>
      <c r="K423" s="442"/>
    </row>
    <row r="424" spans="10:11" x14ac:dyDescent="0.25">
      <c r="J424" s="442"/>
      <c r="K424" s="442"/>
    </row>
    <row r="425" spans="10:11" x14ac:dyDescent="0.25">
      <c r="J425" s="442"/>
      <c r="K425" s="442"/>
    </row>
    <row r="426" spans="10:11" x14ac:dyDescent="0.25">
      <c r="J426" s="442"/>
      <c r="K426" s="442"/>
    </row>
    <row r="427" spans="10:11" x14ac:dyDescent="0.25">
      <c r="J427" s="442"/>
      <c r="K427" s="442"/>
    </row>
    <row r="428" spans="10:11" x14ac:dyDescent="0.25">
      <c r="J428" s="442"/>
      <c r="K428" s="442"/>
    </row>
    <row r="429" spans="10:11" x14ac:dyDescent="0.25">
      <c r="J429" s="442"/>
      <c r="K429" s="442"/>
    </row>
    <row r="430" spans="10:11" x14ac:dyDescent="0.25">
      <c r="J430" s="442"/>
      <c r="K430" s="442"/>
    </row>
    <row r="431" spans="10:11" x14ac:dyDescent="0.25">
      <c r="J431" s="442"/>
      <c r="K431" s="442"/>
    </row>
    <row r="432" spans="10:11" x14ac:dyDescent="0.25">
      <c r="J432" s="442"/>
      <c r="K432" s="442"/>
    </row>
    <row r="433" spans="10:11" x14ac:dyDescent="0.25">
      <c r="J433" s="442"/>
      <c r="K433" s="442"/>
    </row>
    <row r="434" spans="10:11" x14ac:dyDescent="0.25">
      <c r="J434" s="442"/>
      <c r="K434" s="442"/>
    </row>
    <row r="435" spans="10:11" x14ac:dyDescent="0.25">
      <c r="J435" s="442"/>
      <c r="K435" s="442"/>
    </row>
    <row r="436" spans="10:11" x14ac:dyDescent="0.25">
      <c r="J436" s="442"/>
      <c r="K436" s="442"/>
    </row>
    <row r="437" spans="10:11" x14ac:dyDescent="0.25">
      <c r="J437" s="442"/>
      <c r="K437" s="442"/>
    </row>
    <row r="438" spans="10:11" x14ac:dyDescent="0.25">
      <c r="J438" s="442"/>
      <c r="K438" s="442"/>
    </row>
    <row r="439" spans="10:11" x14ac:dyDescent="0.25">
      <c r="J439" s="442"/>
      <c r="K439" s="442"/>
    </row>
    <row r="440" spans="10:11" x14ac:dyDescent="0.25">
      <c r="J440" s="442"/>
      <c r="K440" s="442"/>
    </row>
    <row r="441" spans="10:11" x14ac:dyDescent="0.25">
      <c r="J441" s="442"/>
      <c r="K441" s="442"/>
    </row>
    <row r="442" spans="10:11" x14ac:dyDescent="0.25">
      <c r="J442" s="442"/>
      <c r="K442" s="442"/>
    </row>
    <row r="443" spans="10:11" x14ac:dyDescent="0.25">
      <c r="J443" s="442"/>
      <c r="K443" s="442"/>
    </row>
    <row r="444" spans="10:11" x14ac:dyDescent="0.25">
      <c r="J444" s="442"/>
      <c r="K444" s="442"/>
    </row>
    <row r="445" spans="10:11" x14ac:dyDescent="0.25">
      <c r="J445" s="442"/>
      <c r="K445" s="442"/>
    </row>
    <row r="446" spans="10:11" x14ac:dyDescent="0.25">
      <c r="J446" s="442"/>
      <c r="K446" s="442"/>
    </row>
    <row r="447" spans="10:11" x14ac:dyDescent="0.25">
      <c r="J447" s="442"/>
      <c r="K447" s="442"/>
    </row>
    <row r="448" spans="10:11" x14ac:dyDescent="0.25">
      <c r="J448" s="442"/>
      <c r="K448" s="442"/>
    </row>
    <row r="449" spans="10:11" x14ac:dyDescent="0.25">
      <c r="J449" s="442"/>
      <c r="K449" s="442"/>
    </row>
    <row r="450" spans="10:11" x14ac:dyDescent="0.25">
      <c r="J450" s="442"/>
      <c r="K450" s="442"/>
    </row>
    <row r="451" spans="10:11" x14ac:dyDescent="0.25">
      <c r="J451" s="442"/>
      <c r="K451" s="442"/>
    </row>
    <row r="452" spans="10:11" x14ac:dyDescent="0.25">
      <c r="J452" s="442"/>
      <c r="K452" s="442"/>
    </row>
    <row r="453" spans="10:11" x14ac:dyDescent="0.25">
      <c r="J453" s="442"/>
      <c r="K453" s="442"/>
    </row>
    <row r="454" spans="10:11" x14ac:dyDescent="0.25">
      <c r="J454" s="442"/>
      <c r="K454" s="442"/>
    </row>
    <row r="455" spans="10:11" x14ac:dyDescent="0.25">
      <c r="J455" s="442"/>
      <c r="K455" s="442"/>
    </row>
    <row r="456" spans="10:11" x14ac:dyDescent="0.25">
      <c r="J456" s="442"/>
      <c r="K456" s="442"/>
    </row>
    <row r="457" spans="10:11" x14ac:dyDescent="0.25">
      <c r="J457" s="442"/>
      <c r="K457" s="442"/>
    </row>
    <row r="458" spans="10:11" x14ac:dyDescent="0.25">
      <c r="J458" s="442"/>
      <c r="K458" s="442"/>
    </row>
    <row r="459" spans="10:11" x14ac:dyDescent="0.25">
      <c r="J459" s="442"/>
      <c r="K459" s="442"/>
    </row>
    <row r="460" spans="10:11" x14ac:dyDescent="0.25">
      <c r="J460" s="442"/>
      <c r="K460" s="442"/>
    </row>
    <row r="461" spans="10:11" x14ac:dyDescent="0.25">
      <c r="J461" s="442"/>
      <c r="K461" s="442"/>
    </row>
    <row r="462" spans="10:11" x14ac:dyDescent="0.25">
      <c r="J462" s="442"/>
      <c r="K462" s="442"/>
    </row>
    <row r="463" spans="10:11" x14ac:dyDescent="0.25">
      <c r="J463" s="442"/>
      <c r="K463" s="442"/>
    </row>
    <row r="464" spans="10:11" x14ac:dyDescent="0.25">
      <c r="J464" s="442"/>
      <c r="K464" s="442"/>
    </row>
    <row r="465" spans="10:11" x14ac:dyDescent="0.25">
      <c r="J465" s="442"/>
      <c r="K465" s="442"/>
    </row>
    <row r="466" spans="10:11" x14ac:dyDescent="0.25">
      <c r="J466" s="442"/>
      <c r="K466" s="442"/>
    </row>
    <row r="467" spans="10:11" x14ac:dyDescent="0.25">
      <c r="J467" s="442"/>
      <c r="K467" s="442"/>
    </row>
    <row r="468" spans="10:11" x14ac:dyDescent="0.25">
      <c r="J468" s="442"/>
      <c r="K468" s="442"/>
    </row>
    <row r="469" spans="10:11" x14ac:dyDescent="0.25">
      <c r="J469" s="442"/>
      <c r="K469" s="442"/>
    </row>
    <row r="470" spans="10:11" x14ac:dyDescent="0.25">
      <c r="J470" s="442"/>
      <c r="K470" s="442"/>
    </row>
    <row r="471" spans="10:11" x14ac:dyDescent="0.25">
      <c r="J471" s="442"/>
      <c r="K471" s="442"/>
    </row>
    <row r="472" spans="10:11" x14ac:dyDescent="0.25">
      <c r="J472" s="442"/>
      <c r="K472" s="442"/>
    </row>
    <row r="473" spans="10:11" x14ac:dyDescent="0.25">
      <c r="J473" s="442"/>
      <c r="K473" s="442"/>
    </row>
    <row r="474" spans="10:11" x14ac:dyDescent="0.25">
      <c r="J474" s="442"/>
      <c r="K474" s="442"/>
    </row>
    <row r="475" spans="10:11" x14ac:dyDescent="0.25">
      <c r="J475" s="442"/>
      <c r="K475" s="442"/>
    </row>
    <row r="476" spans="10:11" x14ac:dyDescent="0.25">
      <c r="J476" s="442"/>
      <c r="K476" s="442"/>
    </row>
    <row r="477" spans="10:11" x14ac:dyDescent="0.25">
      <c r="J477" s="442"/>
      <c r="K477" s="442"/>
    </row>
    <row r="478" spans="10:11" x14ac:dyDescent="0.25">
      <c r="J478" s="442"/>
      <c r="K478" s="442"/>
    </row>
    <row r="479" spans="10:11" x14ac:dyDescent="0.25">
      <c r="J479" s="442"/>
      <c r="K479" s="442"/>
    </row>
    <row r="480" spans="10:11" x14ac:dyDescent="0.25">
      <c r="J480" s="442"/>
      <c r="K480" s="442"/>
    </row>
    <row r="481" spans="10:11" x14ac:dyDescent="0.25">
      <c r="J481" s="442"/>
      <c r="K481" s="442"/>
    </row>
    <row r="482" spans="10:11" x14ac:dyDescent="0.25">
      <c r="J482" s="442"/>
      <c r="K482" s="442"/>
    </row>
    <row r="483" spans="10:11" x14ac:dyDescent="0.25">
      <c r="J483" s="442"/>
      <c r="K483" s="442"/>
    </row>
    <row r="484" spans="10:11" x14ac:dyDescent="0.25">
      <c r="J484" s="442"/>
      <c r="K484" s="442"/>
    </row>
    <row r="485" spans="10:11" x14ac:dyDescent="0.25">
      <c r="J485" s="442"/>
      <c r="K485" s="442"/>
    </row>
    <row r="486" spans="10:11" x14ac:dyDescent="0.25">
      <c r="J486" s="442"/>
      <c r="K486" s="442"/>
    </row>
    <row r="487" spans="10:11" x14ac:dyDescent="0.25">
      <c r="J487" s="442"/>
      <c r="K487" s="442"/>
    </row>
    <row r="488" spans="10:11" x14ac:dyDescent="0.25">
      <c r="J488" s="442"/>
      <c r="K488" s="442"/>
    </row>
    <row r="489" spans="10:11" x14ac:dyDescent="0.25">
      <c r="J489" s="442"/>
      <c r="K489" s="442"/>
    </row>
    <row r="490" spans="10:11" x14ac:dyDescent="0.25">
      <c r="J490" s="442"/>
      <c r="K490" s="442"/>
    </row>
    <row r="491" spans="10:11" x14ac:dyDescent="0.25">
      <c r="J491" s="442"/>
      <c r="K491" s="442"/>
    </row>
    <row r="492" spans="10:11" x14ac:dyDescent="0.25">
      <c r="J492" s="442"/>
      <c r="K492" s="442"/>
    </row>
    <row r="493" spans="10:11" x14ac:dyDescent="0.25">
      <c r="J493" s="442"/>
      <c r="K493" s="442"/>
    </row>
    <row r="494" spans="10:11" x14ac:dyDescent="0.25">
      <c r="J494" s="442"/>
      <c r="K494" s="442"/>
    </row>
    <row r="495" spans="10:11" x14ac:dyDescent="0.25">
      <c r="J495" s="442"/>
      <c r="K495" s="442"/>
    </row>
    <row r="496" spans="10:11" x14ac:dyDescent="0.25">
      <c r="J496" s="442"/>
      <c r="K496" s="442"/>
    </row>
    <row r="497" spans="10:11" x14ac:dyDescent="0.25">
      <c r="J497" s="442"/>
      <c r="K497" s="442"/>
    </row>
    <row r="498" spans="10:11" x14ac:dyDescent="0.25">
      <c r="J498" s="442"/>
      <c r="K498" s="442"/>
    </row>
    <row r="499" spans="10:11" x14ac:dyDescent="0.25">
      <c r="J499" s="442"/>
      <c r="K499" s="442"/>
    </row>
    <row r="500" spans="10:11" x14ac:dyDescent="0.25">
      <c r="J500" s="442"/>
      <c r="K500" s="442"/>
    </row>
    <row r="501" spans="10:11" x14ac:dyDescent="0.25">
      <c r="J501" s="442"/>
      <c r="K501" s="442"/>
    </row>
    <row r="502" spans="10:11" x14ac:dyDescent="0.25">
      <c r="J502" s="442"/>
      <c r="K502" s="442"/>
    </row>
    <row r="503" spans="10:11" x14ac:dyDescent="0.25">
      <c r="J503" s="442"/>
      <c r="K503" s="442"/>
    </row>
    <row r="504" spans="10:11" x14ac:dyDescent="0.25">
      <c r="J504" s="442"/>
      <c r="K504" s="442"/>
    </row>
    <row r="505" spans="10:11" x14ac:dyDescent="0.25">
      <c r="J505" s="442"/>
      <c r="K505" s="442"/>
    </row>
    <row r="506" spans="10:11" x14ac:dyDescent="0.25">
      <c r="J506" s="442"/>
      <c r="K506" s="442"/>
    </row>
    <row r="507" spans="10:11" x14ac:dyDescent="0.25">
      <c r="J507" s="442"/>
      <c r="K507" s="442"/>
    </row>
    <row r="508" spans="10:11" x14ac:dyDescent="0.25">
      <c r="J508" s="442"/>
      <c r="K508" s="442"/>
    </row>
    <row r="509" spans="10:11" x14ac:dyDescent="0.25">
      <c r="J509" s="442"/>
      <c r="K509" s="442"/>
    </row>
    <row r="510" spans="10:11" x14ac:dyDescent="0.25">
      <c r="J510" s="442"/>
      <c r="K510" s="442"/>
    </row>
    <row r="511" spans="10:11" x14ac:dyDescent="0.25">
      <c r="J511" s="442"/>
      <c r="K511" s="442"/>
    </row>
    <row r="512" spans="10:11" x14ac:dyDescent="0.25">
      <c r="J512" s="442"/>
      <c r="K512" s="442"/>
    </row>
    <row r="513" spans="10:11" x14ac:dyDescent="0.25">
      <c r="J513" s="442"/>
      <c r="K513" s="442"/>
    </row>
    <row r="514" spans="10:11" x14ac:dyDescent="0.25">
      <c r="J514" s="442"/>
      <c r="K514" s="442"/>
    </row>
    <row r="515" spans="10:11" x14ac:dyDescent="0.25">
      <c r="J515" s="442"/>
      <c r="K515" s="442"/>
    </row>
    <row r="516" spans="10:11" x14ac:dyDescent="0.25">
      <c r="J516" s="442"/>
      <c r="K516" s="442"/>
    </row>
    <row r="517" spans="10:11" x14ac:dyDescent="0.25">
      <c r="J517" s="442"/>
      <c r="K517" s="442"/>
    </row>
    <row r="518" spans="10:11" x14ac:dyDescent="0.25">
      <c r="J518" s="442"/>
      <c r="K518" s="442"/>
    </row>
    <row r="519" spans="10:11" x14ac:dyDescent="0.25">
      <c r="J519" s="442"/>
      <c r="K519" s="442"/>
    </row>
    <row r="520" spans="10:11" x14ac:dyDescent="0.25">
      <c r="J520" s="442"/>
      <c r="K520" s="442"/>
    </row>
    <row r="521" spans="10:11" x14ac:dyDescent="0.25">
      <c r="J521" s="442"/>
      <c r="K521" s="442"/>
    </row>
    <row r="522" spans="10:11" x14ac:dyDescent="0.25">
      <c r="J522" s="442"/>
      <c r="K522" s="442"/>
    </row>
    <row r="523" spans="10:11" x14ac:dyDescent="0.25">
      <c r="J523" s="442"/>
      <c r="K523" s="442"/>
    </row>
    <row r="524" spans="10:11" x14ac:dyDescent="0.25">
      <c r="J524" s="442"/>
      <c r="K524" s="442"/>
    </row>
    <row r="525" spans="10:11" x14ac:dyDescent="0.25">
      <c r="J525" s="442"/>
      <c r="K525" s="442"/>
    </row>
    <row r="526" spans="10:11" x14ac:dyDescent="0.25">
      <c r="J526" s="442"/>
      <c r="K526" s="442"/>
    </row>
    <row r="527" spans="10:11" x14ac:dyDescent="0.25">
      <c r="J527" s="442"/>
      <c r="K527" s="442"/>
    </row>
    <row r="528" spans="10:11" x14ac:dyDescent="0.25">
      <c r="J528" s="442"/>
      <c r="K528" s="442"/>
    </row>
    <row r="529" spans="10:11" x14ac:dyDescent="0.25">
      <c r="J529" s="442"/>
      <c r="K529" s="442"/>
    </row>
    <row r="530" spans="10:11" x14ac:dyDescent="0.25">
      <c r="J530" s="442"/>
      <c r="K530" s="442"/>
    </row>
    <row r="531" spans="10:11" x14ac:dyDescent="0.25">
      <c r="J531" s="442"/>
      <c r="K531" s="442"/>
    </row>
    <row r="532" spans="10:11" x14ac:dyDescent="0.25">
      <c r="J532" s="442"/>
      <c r="K532" s="442"/>
    </row>
    <row r="533" spans="10:11" x14ac:dyDescent="0.25">
      <c r="J533" s="442"/>
      <c r="K533" s="442"/>
    </row>
    <row r="534" spans="10:11" x14ac:dyDescent="0.25">
      <c r="J534" s="442"/>
      <c r="K534" s="442"/>
    </row>
    <row r="535" spans="10:11" x14ac:dyDescent="0.25">
      <c r="J535" s="442"/>
      <c r="K535" s="442"/>
    </row>
    <row r="536" spans="10:11" x14ac:dyDescent="0.25">
      <c r="J536" s="442"/>
      <c r="K536" s="442"/>
    </row>
    <row r="537" spans="10:11" x14ac:dyDescent="0.25">
      <c r="J537" s="442"/>
      <c r="K537" s="442"/>
    </row>
    <row r="538" spans="10:11" x14ac:dyDescent="0.25">
      <c r="J538" s="442"/>
      <c r="K538" s="442"/>
    </row>
    <row r="539" spans="10:11" x14ac:dyDescent="0.25">
      <c r="J539" s="442"/>
      <c r="K539" s="442"/>
    </row>
    <row r="540" spans="10:11" x14ac:dyDescent="0.25">
      <c r="J540" s="442"/>
      <c r="K540" s="442"/>
    </row>
    <row r="541" spans="10:11" x14ac:dyDescent="0.25">
      <c r="J541" s="442"/>
      <c r="K541" s="442"/>
    </row>
    <row r="542" spans="10:11" x14ac:dyDescent="0.25">
      <c r="J542" s="442"/>
      <c r="K542" s="442"/>
    </row>
    <row r="543" spans="10:11" x14ac:dyDescent="0.25">
      <c r="J543" s="442"/>
      <c r="K543" s="442"/>
    </row>
    <row r="544" spans="10:11" x14ac:dyDescent="0.25">
      <c r="J544" s="442"/>
      <c r="K544" s="442"/>
    </row>
    <row r="545" spans="10:11" x14ac:dyDescent="0.25">
      <c r="J545" s="442"/>
      <c r="K545" s="442"/>
    </row>
    <row r="546" spans="10:11" x14ac:dyDescent="0.25">
      <c r="J546" s="442"/>
      <c r="K546" s="442"/>
    </row>
    <row r="547" spans="10:11" x14ac:dyDescent="0.25">
      <c r="J547" s="442"/>
      <c r="K547" s="442"/>
    </row>
    <row r="548" spans="10:11" x14ac:dyDescent="0.25">
      <c r="J548" s="442"/>
      <c r="K548" s="442"/>
    </row>
    <row r="549" spans="10:11" x14ac:dyDescent="0.25">
      <c r="J549" s="442"/>
      <c r="K549" s="442"/>
    </row>
    <row r="550" spans="10:11" x14ac:dyDescent="0.25">
      <c r="J550" s="442"/>
      <c r="K550" s="442"/>
    </row>
    <row r="551" spans="10:11" x14ac:dyDescent="0.25">
      <c r="J551" s="442"/>
      <c r="K551" s="442"/>
    </row>
    <row r="552" spans="10:11" x14ac:dyDescent="0.25">
      <c r="J552" s="442"/>
      <c r="K552" s="442"/>
    </row>
    <row r="553" spans="10:11" x14ac:dyDescent="0.25">
      <c r="J553" s="442"/>
      <c r="K553" s="442"/>
    </row>
    <row r="554" spans="10:11" x14ac:dyDescent="0.25">
      <c r="J554" s="442"/>
      <c r="K554" s="442"/>
    </row>
    <row r="555" spans="10:11" x14ac:dyDescent="0.25">
      <c r="J555" s="442"/>
      <c r="K555" s="442"/>
    </row>
    <row r="556" spans="10:11" x14ac:dyDescent="0.25">
      <c r="J556" s="442"/>
      <c r="K556" s="442"/>
    </row>
    <row r="557" spans="10:11" x14ac:dyDescent="0.25">
      <c r="J557" s="442"/>
      <c r="K557" s="442"/>
    </row>
    <row r="558" spans="10:11" x14ac:dyDescent="0.25">
      <c r="J558" s="442"/>
      <c r="K558" s="442"/>
    </row>
    <row r="559" spans="10:11" x14ac:dyDescent="0.25">
      <c r="J559" s="442"/>
      <c r="K559" s="442"/>
    </row>
    <row r="560" spans="10:11" x14ac:dyDescent="0.25">
      <c r="J560" s="442"/>
      <c r="K560" s="442"/>
    </row>
    <row r="561" spans="10:11" x14ac:dyDescent="0.25">
      <c r="J561" s="442"/>
      <c r="K561" s="442"/>
    </row>
    <row r="562" spans="10:11" x14ac:dyDescent="0.25">
      <c r="J562" s="442"/>
      <c r="K562" s="442"/>
    </row>
    <row r="563" spans="10:11" x14ac:dyDescent="0.25">
      <c r="J563" s="442"/>
      <c r="K563" s="442"/>
    </row>
    <row r="564" spans="10:11" x14ac:dyDescent="0.25">
      <c r="J564" s="442"/>
      <c r="K564" s="442"/>
    </row>
    <row r="565" spans="10:11" x14ac:dyDescent="0.25">
      <c r="J565" s="442"/>
      <c r="K565" s="442"/>
    </row>
    <row r="566" spans="10:11" x14ac:dyDescent="0.25">
      <c r="J566" s="442"/>
      <c r="K566" s="442"/>
    </row>
    <row r="567" spans="10:11" x14ac:dyDescent="0.25">
      <c r="J567" s="442"/>
      <c r="K567" s="442"/>
    </row>
    <row r="568" spans="10:11" x14ac:dyDescent="0.25">
      <c r="J568" s="442"/>
      <c r="K568" s="442"/>
    </row>
    <row r="569" spans="10:11" x14ac:dyDescent="0.25">
      <c r="J569" s="442"/>
      <c r="K569" s="442"/>
    </row>
    <row r="570" spans="10:11" x14ac:dyDescent="0.25">
      <c r="J570" s="442"/>
      <c r="K570" s="442"/>
    </row>
    <row r="571" spans="10:11" x14ac:dyDescent="0.25">
      <c r="J571" s="442"/>
      <c r="K571" s="442"/>
    </row>
    <row r="572" spans="10:11" x14ac:dyDescent="0.25">
      <c r="J572" s="442"/>
      <c r="K572" s="442"/>
    </row>
    <row r="573" spans="10:11" x14ac:dyDescent="0.25">
      <c r="J573" s="442"/>
      <c r="K573" s="442"/>
    </row>
    <row r="574" spans="10:11" x14ac:dyDescent="0.25">
      <c r="J574" s="442"/>
      <c r="K574" s="442"/>
    </row>
    <row r="575" spans="10:11" x14ac:dyDescent="0.25">
      <c r="J575" s="442"/>
      <c r="K575" s="442"/>
    </row>
    <row r="576" spans="10:11" x14ac:dyDescent="0.25">
      <c r="J576" s="442"/>
      <c r="K576" s="442"/>
    </row>
    <row r="577" spans="10:11" x14ac:dyDescent="0.25">
      <c r="J577" s="442"/>
      <c r="K577" s="442"/>
    </row>
    <row r="578" spans="10:11" x14ac:dyDescent="0.25">
      <c r="J578" s="442"/>
      <c r="K578" s="442"/>
    </row>
    <row r="579" spans="10:11" x14ac:dyDescent="0.25">
      <c r="J579" s="442"/>
      <c r="K579" s="442"/>
    </row>
    <row r="580" spans="10:11" x14ac:dyDescent="0.25">
      <c r="J580" s="442"/>
      <c r="K580" s="442"/>
    </row>
    <row r="581" spans="10:11" x14ac:dyDescent="0.25">
      <c r="J581" s="442"/>
      <c r="K581" s="442"/>
    </row>
    <row r="582" spans="10:11" x14ac:dyDescent="0.25">
      <c r="J582" s="442"/>
      <c r="K582" s="442"/>
    </row>
    <row r="583" spans="10:11" x14ac:dyDescent="0.25">
      <c r="J583" s="442"/>
      <c r="K583" s="442"/>
    </row>
    <row r="584" spans="10:11" x14ac:dyDescent="0.25">
      <c r="J584" s="442"/>
      <c r="K584" s="442"/>
    </row>
    <row r="585" spans="10:11" x14ac:dyDescent="0.25">
      <c r="J585" s="442"/>
      <c r="K585" s="442"/>
    </row>
    <row r="586" spans="10:11" x14ac:dyDescent="0.25">
      <c r="J586" s="442"/>
      <c r="K586" s="442"/>
    </row>
    <row r="587" spans="10:11" x14ac:dyDescent="0.25">
      <c r="J587" s="442"/>
      <c r="K587" s="442"/>
    </row>
    <row r="588" spans="10:11" x14ac:dyDescent="0.25">
      <c r="J588" s="442"/>
      <c r="K588" s="442"/>
    </row>
    <row r="589" spans="10:11" x14ac:dyDescent="0.25">
      <c r="J589" s="442"/>
      <c r="K589" s="442"/>
    </row>
    <row r="590" spans="10:11" x14ac:dyDescent="0.25">
      <c r="J590" s="442"/>
      <c r="K590" s="442"/>
    </row>
    <row r="591" spans="10:11" x14ac:dyDescent="0.25">
      <c r="J591" s="442"/>
      <c r="K591" s="442"/>
    </row>
    <row r="592" spans="10:11" x14ac:dyDescent="0.25">
      <c r="J592" s="442"/>
      <c r="K592" s="442"/>
    </row>
    <row r="593" spans="10:11" x14ac:dyDescent="0.25">
      <c r="J593" s="442"/>
      <c r="K593" s="442"/>
    </row>
    <row r="594" spans="10:11" x14ac:dyDescent="0.25">
      <c r="J594" s="442"/>
      <c r="K594" s="442"/>
    </row>
    <row r="595" spans="10:11" x14ac:dyDescent="0.25">
      <c r="J595" s="442"/>
      <c r="K595" s="442"/>
    </row>
    <row r="596" spans="10:11" x14ac:dyDescent="0.25">
      <c r="J596" s="442"/>
      <c r="K596" s="442"/>
    </row>
    <row r="597" spans="10:11" x14ac:dyDescent="0.25">
      <c r="J597" s="442"/>
      <c r="K597" s="442"/>
    </row>
    <row r="598" spans="10:11" x14ac:dyDescent="0.25">
      <c r="J598" s="442"/>
      <c r="K598" s="442"/>
    </row>
    <row r="599" spans="10:11" x14ac:dyDescent="0.25">
      <c r="J599" s="442"/>
      <c r="K599" s="442"/>
    </row>
    <row r="600" spans="10:11" x14ac:dyDescent="0.25">
      <c r="J600" s="442"/>
      <c r="K600" s="442"/>
    </row>
    <row r="601" spans="10:11" x14ac:dyDescent="0.25">
      <c r="J601" s="442"/>
      <c r="K601" s="442"/>
    </row>
    <row r="602" spans="10:11" x14ac:dyDescent="0.25">
      <c r="J602" s="442"/>
      <c r="K602" s="442"/>
    </row>
    <row r="603" spans="10:11" x14ac:dyDescent="0.25">
      <c r="J603" s="442"/>
      <c r="K603" s="442"/>
    </row>
    <row r="604" spans="10:11" x14ac:dyDescent="0.25">
      <c r="J604" s="442"/>
      <c r="K604" s="442"/>
    </row>
    <row r="605" spans="10:11" x14ac:dyDescent="0.25">
      <c r="J605" s="442"/>
      <c r="K605" s="442"/>
    </row>
    <row r="606" spans="10:11" x14ac:dyDescent="0.25">
      <c r="J606" s="442"/>
      <c r="K606" s="442"/>
    </row>
    <row r="607" spans="10:11" x14ac:dyDescent="0.25">
      <c r="J607" s="442"/>
      <c r="K607" s="442"/>
    </row>
    <row r="608" spans="10:11" x14ac:dyDescent="0.25">
      <c r="J608" s="442"/>
      <c r="K608" s="442"/>
    </row>
    <row r="609" spans="10:11" x14ac:dyDescent="0.25">
      <c r="J609" s="442"/>
      <c r="K609" s="442"/>
    </row>
    <row r="610" spans="10:11" x14ac:dyDescent="0.25">
      <c r="J610" s="442"/>
      <c r="K610" s="442"/>
    </row>
    <row r="611" spans="10:11" x14ac:dyDescent="0.25">
      <c r="J611" s="442"/>
      <c r="K611" s="442"/>
    </row>
    <row r="612" spans="10:11" x14ac:dyDescent="0.25">
      <c r="J612" s="442"/>
      <c r="K612" s="442"/>
    </row>
    <row r="613" spans="10:11" x14ac:dyDescent="0.25">
      <c r="J613" s="442"/>
      <c r="K613" s="442"/>
    </row>
    <row r="614" spans="10:11" x14ac:dyDescent="0.25">
      <c r="J614" s="442"/>
      <c r="K614" s="442"/>
    </row>
    <row r="615" spans="10:11" x14ac:dyDescent="0.25">
      <c r="J615" s="442"/>
      <c r="K615" s="442"/>
    </row>
    <row r="616" spans="10:11" x14ac:dyDescent="0.25">
      <c r="J616" s="442"/>
      <c r="K616" s="442"/>
    </row>
    <row r="617" spans="10:11" x14ac:dyDescent="0.25">
      <c r="J617" s="442"/>
      <c r="K617" s="442"/>
    </row>
    <row r="618" spans="10:11" x14ac:dyDescent="0.25">
      <c r="J618" s="442"/>
      <c r="K618" s="442"/>
    </row>
    <row r="619" spans="10:11" x14ac:dyDescent="0.25">
      <c r="J619" s="442"/>
      <c r="K619" s="442"/>
    </row>
    <row r="620" spans="10:11" x14ac:dyDescent="0.25">
      <c r="J620" s="442"/>
      <c r="K620" s="442"/>
    </row>
    <row r="621" spans="10:11" x14ac:dyDescent="0.25">
      <c r="J621" s="442"/>
      <c r="K621" s="442"/>
    </row>
    <row r="622" spans="10:11" x14ac:dyDescent="0.25">
      <c r="J622" s="442"/>
      <c r="K622" s="442"/>
    </row>
    <row r="623" spans="10:11" x14ac:dyDescent="0.25">
      <c r="J623" s="442"/>
      <c r="K623" s="442"/>
    </row>
    <row r="624" spans="10:11" x14ac:dyDescent="0.25">
      <c r="J624" s="442"/>
      <c r="K624" s="442"/>
    </row>
    <row r="625" spans="10:11" x14ac:dyDescent="0.25">
      <c r="J625" s="442"/>
      <c r="K625" s="442"/>
    </row>
    <row r="626" spans="10:11" x14ac:dyDescent="0.25">
      <c r="J626" s="442"/>
      <c r="K626" s="442"/>
    </row>
    <row r="627" spans="10:11" x14ac:dyDescent="0.25">
      <c r="J627" s="442"/>
      <c r="K627" s="442"/>
    </row>
    <row r="628" spans="10:11" x14ac:dyDescent="0.25">
      <c r="J628" s="442"/>
      <c r="K628" s="442"/>
    </row>
    <row r="629" spans="10:11" x14ac:dyDescent="0.25">
      <c r="J629" s="442"/>
      <c r="K629" s="442"/>
    </row>
    <row r="630" spans="10:11" x14ac:dyDescent="0.25">
      <c r="J630" s="442"/>
      <c r="K630" s="442"/>
    </row>
    <row r="631" spans="10:11" x14ac:dyDescent="0.25">
      <c r="J631" s="442"/>
      <c r="K631" s="442"/>
    </row>
    <row r="632" spans="10:11" x14ac:dyDescent="0.25">
      <c r="J632" s="442"/>
      <c r="K632" s="442"/>
    </row>
    <row r="633" spans="10:11" x14ac:dyDescent="0.25">
      <c r="J633" s="442"/>
      <c r="K633" s="442"/>
    </row>
    <row r="634" spans="10:11" x14ac:dyDescent="0.25">
      <c r="J634" s="442"/>
      <c r="K634" s="442"/>
    </row>
    <row r="635" spans="10:11" x14ac:dyDescent="0.25">
      <c r="J635" s="442"/>
      <c r="K635" s="442"/>
    </row>
    <row r="636" spans="10:11" x14ac:dyDescent="0.25">
      <c r="J636" s="442"/>
      <c r="K636" s="442"/>
    </row>
    <row r="637" spans="10:11" x14ac:dyDescent="0.25">
      <c r="J637" s="442"/>
      <c r="K637" s="442"/>
    </row>
    <row r="638" spans="10:11" x14ac:dyDescent="0.25">
      <c r="J638" s="442"/>
      <c r="K638" s="442"/>
    </row>
    <row r="639" spans="10:11" x14ac:dyDescent="0.25">
      <c r="J639" s="442"/>
      <c r="K639" s="442"/>
    </row>
    <row r="640" spans="10:11" x14ac:dyDescent="0.25">
      <c r="J640" s="442"/>
      <c r="K640" s="442"/>
    </row>
    <row r="641" spans="10:11" x14ac:dyDescent="0.25">
      <c r="J641" s="442"/>
      <c r="K641" s="442"/>
    </row>
    <row r="642" spans="10:11" x14ac:dyDescent="0.25">
      <c r="J642" s="442"/>
      <c r="K642" s="442"/>
    </row>
    <row r="643" spans="10:11" x14ac:dyDescent="0.25">
      <c r="J643" s="442"/>
      <c r="K643" s="442"/>
    </row>
    <row r="644" spans="10:11" x14ac:dyDescent="0.25">
      <c r="J644" s="442"/>
      <c r="K644" s="442"/>
    </row>
    <row r="645" spans="10:11" x14ac:dyDescent="0.25">
      <c r="J645" s="442"/>
      <c r="K645" s="442"/>
    </row>
    <row r="646" spans="10:11" x14ac:dyDescent="0.25">
      <c r="J646" s="442"/>
      <c r="K646" s="442"/>
    </row>
    <row r="647" spans="10:11" x14ac:dyDescent="0.25">
      <c r="J647" s="442"/>
      <c r="K647" s="442"/>
    </row>
    <row r="648" spans="10:11" x14ac:dyDescent="0.25">
      <c r="J648" s="442"/>
      <c r="K648" s="442"/>
    </row>
    <row r="649" spans="10:11" x14ac:dyDescent="0.25">
      <c r="J649" s="442"/>
      <c r="K649" s="442"/>
    </row>
    <row r="650" spans="10:11" x14ac:dyDescent="0.25">
      <c r="J650" s="442"/>
      <c r="K650" s="442"/>
    </row>
    <row r="651" spans="10:11" x14ac:dyDescent="0.25">
      <c r="J651" s="442"/>
      <c r="K651" s="442"/>
    </row>
    <row r="652" spans="10:11" x14ac:dyDescent="0.25">
      <c r="J652" s="442"/>
      <c r="K652" s="442"/>
    </row>
    <row r="653" spans="10:11" x14ac:dyDescent="0.25">
      <c r="J653" s="442"/>
      <c r="K653" s="442"/>
    </row>
    <row r="654" spans="10:11" x14ac:dyDescent="0.25">
      <c r="J654" s="442"/>
      <c r="K654" s="442"/>
    </row>
    <row r="655" spans="10:11" x14ac:dyDescent="0.25">
      <c r="J655" s="442"/>
      <c r="K655" s="442"/>
    </row>
    <row r="656" spans="10:11" x14ac:dyDescent="0.25">
      <c r="J656" s="442"/>
      <c r="K656" s="442"/>
    </row>
    <row r="657" spans="10:11" x14ac:dyDescent="0.25">
      <c r="J657" s="442"/>
      <c r="K657" s="442"/>
    </row>
    <row r="658" spans="10:11" x14ac:dyDescent="0.25">
      <c r="J658" s="442"/>
      <c r="K658" s="442"/>
    </row>
    <row r="659" spans="10:11" x14ac:dyDescent="0.25">
      <c r="J659" s="442"/>
      <c r="K659" s="442"/>
    </row>
    <row r="660" spans="10:11" x14ac:dyDescent="0.25">
      <c r="J660" s="442"/>
      <c r="K660" s="442"/>
    </row>
    <row r="661" spans="10:11" x14ac:dyDescent="0.25">
      <c r="J661" s="442"/>
      <c r="K661" s="442"/>
    </row>
    <row r="662" spans="10:11" x14ac:dyDescent="0.25">
      <c r="J662" s="442"/>
      <c r="K662" s="442"/>
    </row>
    <row r="663" spans="10:11" x14ac:dyDescent="0.25">
      <c r="J663" s="442"/>
      <c r="K663" s="442"/>
    </row>
    <row r="664" spans="10:11" x14ac:dyDescent="0.25">
      <c r="J664" s="442"/>
      <c r="K664" s="442"/>
    </row>
    <row r="665" spans="10:11" x14ac:dyDescent="0.25">
      <c r="J665" s="442"/>
      <c r="K665" s="442"/>
    </row>
    <row r="666" spans="10:11" x14ac:dyDescent="0.25">
      <c r="J666" s="442"/>
      <c r="K666" s="442"/>
    </row>
    <row r="667" spans="10:11" x14ac:dyDescent="0.25">
      <c r="J667" s="442"/>
      <c r="K667" s="442"/>
    </row>
    <row r="668" spans="10:11" x14ac:dyDescent="0.25">
      <c r="J668" s="442"/>
      <c r="K668" s="442"/>
    </row>
    <row r="669" spans="10:11" x14ac:dyDescent="0.25">
      <c r="J669" s="442"/>
      <c r="K669" s="442"/>
    </row>
    <row r="670" spans="10:11" x14ac:dyDescent="0.25">
      <c r="J670" s="442"/>
      <c r="K670" s="442"/>
    </row>
    <row r="671" spans="10:11" x14ac:dyDescent="0.25">
      <c r="J671" s="442"/>
      <c r="K671" s="442"/>
    </row>
    <row r="672" spans="10:11" x14ac:dyDescent="0.25">
      <c r="J672" s="442"/>
      <c r="K672" s="442"/>
    </row>
    <row r="673" spans="10:11" x14ac:dyDescent="0.25">
      <c r="J673" s="442"/>
      <c r="K673" s="442"/>
    </row>
    <row r="674" spans="10:11" x14ac:dyDescent="0.25">
      <c r="J674" s="442"/>
      <c r="K674" s="442"/>
    </row>
    <row r="675" spans="10:11" x14ac:dyDescent="0.25">
      <c r="J675" s="442"/>
      <c r="K675" s="442"/>
    </row>
    <row r="676" spans="10:11" x14ac:dyDescent="0.25">
      <c r="J676" s="442"/>
      <c r="K676" s="442"/>
    </row>
    <row r="677" spans="10:11" x14ac:dyDescent="0.25">
      <c r="J677" s="442"/>
      <c r="K677" s="442"/>
    </row>
    <row r="678" spans="10:11" x14ac:dyDescent="0.25">
      <c r="J678" s="442"/>
      <c r="K678" s="442"/>
    </row>
    <row r="679" spans="10:11" x14ac:dyDescent="0.25">
      <c r="J679" s="442"/>
      <c r="K679" s="442"/>
    </row>
    <row r="680" spans="10:11" x14ac:dyDescent="0.25">
      <c r="J680" s="442"/>
      <c r="K680" s="442"/>
    </row>
    <row r="681" spans="10:11" x14ac:dyDescent="0.25">
      <c r="J681" s="442"/>
      <c r="K681" s="442"/>
    </row>
    <row r="682" spans="10:11" x14ac:dyDescent="0.25">
      <c r="J682" s="442"/>
      <c r="K682" s="442"/>
    </row>
    <row r="683" spans="10:11" x14ac:dyDescent="0.25">
      <c r="J683" s="442"/>
      <c r="K683" s="442"/>
    </row>
    <row r="684" spans="10:11" x14ac:dyDescent="0.25">
      <c r="J684" s="442"/>
      <c r="K684" s="442"/>
    </row>
    <row r="685" spans="10:11" x14ac:dyDescent="0.25">
      <c r="J685" s="442"/>
      <c r="K685" s="442"/>
    </row>
    <row r="686" spans="10:11" x14ac:dyDescent="0.25">
      <c r="J686" s="442"/>
      <c r="K686" s="442"/>
    </row>
    <row r="687" spans="10:11" x14ac:dyDescent="0.25">
      <c r="J687" s="442"/>
      <c r="K687" s="442"/>
    </row>
    <row r="688" spans="10:11" x14ac:dyDescent="0.25">
      <c r="J688" s="442"/>
      <c r="K688" s="442"/>
    </row>
    <row r="689" spans="10:11" x14ac:dyDescent="0.25">
      <c r="J689" s="442"/>
      <c r="K689" s="442"/>
    </row>
    <row r="690" spans="10:11" x14ac:dyDescent="0.25">
      <c r="J690" s="442"/>
      <c r="K690" s="442"/>
    </row>
    <row r="691" spans="10:11" x14ac:dyDescent="0.25">
      <c r="J691" s="442"/>
      <c r="K691" s="442"/>
    </row>
    <row r="692" spans="10:11" x14ac:dyDescent="0.25">
      <c r="J692" s="442"/>
      <c r="K692" s="442"/>
    </row>
    <row r="693" spans="10:11" x14ac:dyDescent="0.25">
      <c r="J693" s="442"/>
      <c r="K693" s="442"/>
    </row>
    <row r="694" spans="10:11" x14ac:dyDescent="0.25">
      <c r="J694" s="442"/>
      <c r="K694" s="442"/>
    </row>
    <row r="695" spans="10:11" x14ac:dyDescent="0.25">
      <c r="J695" s="442"/>
      <c r="K695" s="442"/>
    </row>
    <row r="696" spans="10:11" x14ac:dyDescent="0.25">
      <c r="J696" s="442"/>
      <c r="K696" s="442"/>
    </row>
    <row r="697" spans="10:11" x14ac:dyDescent="0.25">
      <c r="J697" s="442"/>
      <c r="K697" s="442"/>
    </row>
    <row r="698" spans="10:11" x14ac:dyDescent="0.25">
      <c r="J698" s="442"/>
      <c r="K698" s="442"/>
    </row>
    <row r="699" spans="10:11" x14ac:dyDescent="0.25">
      <c r="J699" s="442"/>
      <c r="K699" s="442"/>
    </row>
    <row r="700" spans="10:11" x14ac:dyDescent="0.25">
      <c r="J700" s="442"/>
      <c r="K700" s="442"/>
    </row>
    <row r="701" spans="10:11" x14ac:dyDescent="0.25">
      <c r="J701" s="442"/>
      <c r="K701" s="442"/>
    </row>
    <row r="702" spans="10:11" x14ac:dyDescent="0.25">
      <c r="J702" s="442"/>
      <c r="K702" s="442"/>
    </row>
    <row r="703" spans="10:11" x14ac:dyDescent="0.25">
      <c r="J703" s="442"/>
      <c r="K703" s="442"/>
    </row>
    <row r="704" spans="10:11" x14ac:dyDescent="0.25">
      <c r="J704" s="442"/>
      <c r="K704" s="442"/>
    </row>
    <row r="705" spans="10:11" x14ac:dyDescent="0.25">
      <c r="J705" s="442"/>
      <c r="K705" s="442"/>
    </row>
    <row r="706" spans="10:11" x14ac:dyDescent="0.25">
      <c r="J706" s="442"/>
      <c r="K706" s="442"/>
    </row>
    <row r="707" spans="10:11" x14ac:dyDescent="0.25">
      <c r="J707" s="442"/>
      <c r="K707" s="442"/>
    </row>
    <row r="708" spans="10:11" x14ac:dyDescent="0.25">
      <c r="J708" s="442"/>
      <c r="K708" s="442"/>
    </row>
    <row r="709" spans="10:11" x14ac:dyDescent="0.25">
      <c r="J709" s="442"/>
      <c r="K709" s="442"/>
    </row>
    <row r="710" spans="10:11" x14ac:dyDescent="0.25">
      <c r="J710" s="442"/>
      <c r="K710" s="442"/>
    </row>
    <row r="711" spans="10:11" x14ac:dyDescent="0.25">
      <c r="J711" s="442"/>
      <c r="K711" s="442"/>
    </row>
    <row r="712" spans="10:11" x14ac:dyDescent="0.25">
      <c r="J712" s="442"/>
      <c r="K712" s="442"/>
    </row>
    <row r="713" spans="10:11" x14ac:dyDescent="0.25">
      <c r="J713" s="442"/>
      <c r="K713" s="442"/>
    </row>
    <row r="714" spans="10:11" x14ac:dyDescent="0.25">
      <c r="J714" s="442"/>
      <c r="K714" s="442"/>
    </row>
    <row r="715" spans="10:11" x14ac:dyDescent="0.25">
      <c r="J715" s="442"/>
      <c r="K715" s="442"/>
    </row>
    <row r="716" spans="10:11" x14ac:dyDescent="0.25">
      <c r="J716" s="442"/>
      <c r="K716" s="442"/>
    </row>
    <row r="717" spans="10:11" x14ac:dyDescent="0.25">
      <c r="J717" s="442"/>
      <c r="K717" s="442"/>
    </row>
    <row r="718" spans="10:11" x14ac:dyDescent="0.25">
      <c r="J718" s="442"/>
      <c r="K718" s="442"/>
    </row>
    <row r="719" spans="10:11" x14ac:dyDescent="0.25">
      <c r="J719" s="442"/>
      <c r="K719" s="442"/>
    </row>
    <row r="720" spans="10:11" x14ac:dyDescent="0.25">
      <c r="J720" s="442"/>
      <c r="K720" s="442"/>
    </row>
    <row r="721" spans="10:11" x14ac:dyDescent="0.25">
      <c r="J721" s="442"/>
      <c r="K721" s="442"/>
    </row>
    <row r="722" spans="10:11" x14ac:dyDescent="0.25">
      <c r="J722" s="442"/>
      <c r="K722" s="442"/>
    </row>
    <row r="723" spans="10:11" x14ac:dyDescent="0.25">
      <c r="J723" s="442"/>
      <c r="K723" s="442"/>
    </row>
    <row r="724" spans="10:11" x14ac:dyDescent="0.25">
      <c r="J724" s="442"/>
      <c r="K724" s="442"/>
    </row>
    <row r="725" spans="10:11" x14ac:dyDescent="0.25">
      <c r="J725" s="442"/>
      <c r="K725" s="442"/>
    </row>
    <row r="726" spans="10:11" x14ac:dyDescent="0.25">
      <c r="J726" s="442"/>
      <c r="K726" s="442"/>
    </row>
    <row r="727" spans="10:11" x14ac:dyDescent="0.25">
      <c r="J727" s="442"/>
      <c r="K727" s="442"/>
    </row>
    <row r="728" spans="10:11" x14ac:dyDescent="0.25">
      <c r="J728" s="442"/>
      <c r="K728" s="442"/>
    </row>
    <row r="729" spans="10:11" x14ac:dyDescent="0.25">
      <c r="J729" s="442"/>
      <c r="K729" s="442"/>
    </row>
    <row r="730" spans="10:11" x14ac:dyDescent="0.25">
      <c r="J730" s="442"/>
      <c r="K730" s="442"/>
    </row>
    <row r="731" spans="10:11" x14ac:dyDescent="0.25">
      <c r="J731" s="442"/>
      <c r="K731" s="442"/>
    </row>
    <row r="732" spans="10:11" x14ac:dyDescent="0.25">
      <c r="J732" s="442"/>
      <c r="K732" s="442"/>
    </row>
    <row r="733" spans="10:11" x14ac:dyDescent="0.25">
      <c r="J733" s="442"/>
      <c r="K733" s="442"/>
    </row>
    <row r="734" spans="10:11" x14ac:dyDescent="0.25">
      <c r="J734" s="442"/>
      <c r="K734" s="442"/>
    </row>
    <row r="735" spans="10:11" x14ac:dyDescent="0.25">
      <c r="J735" s="442"/>
      <c r="K735" s="442"/>
    </row>
    <row r="736" spans="10:11" x14ac:dyDescent="0.25">
      <c r="J736" s="442"/>
      <c r="K736" s="442"/>
    </row>
    <row r="737" spans="10:11" x14ac:dyDescent="0.25">
      <c r="J737" s="442"/>
      <c r="K737" s="442"/>
    </row>
    <row r="738" spans="10:11" x14ac:dyDescent="0.25">
      <c r="J738" s="442"/>
      <c r="K738" s="442"/>
    </row>
    <row r="739" spans="10:11" x14ac:dyDescent="0.25">
      <c r="J739" s="442"/>
      <c r="K739" s="442"/>
    </row>
    <row r="740" spans="10:11" x14ac:dyDescent="0.25">
      <c r="J740" s="442"/>
      <c r="K740" s="442"/>
    </row>
    <row r="741" spans="10:11" x14ac:dyDescent="0.25">
      <c r="J741" s="442"/>
      <c r="K741" s="442"/>
    </row>
    <row r="742" spans="10:11" x14ac:dyDescent="0.25">
      <c r="J742" s="442"/>
      <c r="K742" s="442"/>
    </row>
    <row r="743" spans="10:11" x14ac:dyDescent="0.25">
      <c r="J743" s="442"/>
      <c r="K743" s="442"/>
    </row>
    <row r="744" spans="10:11" x14ac:dyDescent="0.25">
      <c r="J744" s="442"/>
      <c r="K744" s="442"/>
    </row>
    <row r="745" spans="10:11" x14ac:dyDescent="0.25">
      <c r="J745" s="442"/>
      <c r="K745" s="442"/>
    </row>
    <row r="746" spans="10:11" x14ac:dyDescent="0.25">
      <c r="J746" s="442"/>
      <c r="K746" s="442"/>
    </row>
    <row r="747" spans="10:11" x14ac:dyDescent="0.25">
      <c r="J747" s="442"/>
      <c r="K747" s="442"/>
    </row>
    <row r="748" spans="10:11" x14ac:dyDescent="0.25">
      <c r="J748" s="442"/>
      <c r="K748" s="442"/>
    </row>
    <row r="749" spans="10:11" x14ac:dyDescent="0.25">
      <c r="J749" s="442"/>
      <c r="K749" s="442"/>
    </row>
    <row r="750" spans="10:11" x14ac:dyDescent="0.25">
      <c r="J750" s="442"/>
      <c r="K750" s="442"/>
    </row>
    <row r="751" spans="10:11" x14ac:dyDescent="0.25">
      <c r="J751" s="442"/>
      <c r="K751" s="442"/>
    </row>
    <row r="752" spans="10:11" x14ac:dyDescent="0.25">
      <c r="J752" s="442"/>
      <c r="K752" s="442"/>
    </row>
    <row r="753" spans="10:11" x14ac:dyDescent="0.25">
      <c r="J753" s="442"/>
      <c r="K753" s="442"/>
    </row>
    <row r="754" spans="10:11" x14ac:dyDescent="0.25">
      <c r="J754" s="442"/>
      <c r="K754" s="442"/>
    </row>
    <row r="755" spans="10:11" x14ac:dyDescent="0.25">
      <c r="J755" s="442"/>
      <c r="K755" s="442"/>
    </row>
    <row r="756" spans="10:11" x14ac:dyDescent="0.25">
      <c r="J756" s="442"/>
      <c r="K756" s="442"/>
    </row>
    <row r="757" spans="10:11" x14ac:dyDescent="0.25">
      <c r="J757" s="442"/>
      <c r="K757" s="442"/>
    </row>
    <row r="758" spans="10:11" x14ac:dyDescent="0.25">
      <c r="J758" s="442"/>
      <c r="K758" s="442"/>
    </row>
    <row r="759" spans="10:11" x14ac:dyDescent="0.25">
      <c r="J759" s="442"/>
      <c r="K759" s="442"/>
    </row>
    <row r="760" spans="10:11" x14ac:dyDescent="0.25">
      <c r="J760" s="442"/>
      <c r="K760" s="442"/>
    </row>
    <row r="761" spans="10:11" x14ac:dyDescent="0.25">
      <c r="J761" s="442"/>
      <c r="K761" s="442"/>
    </row>
    <row r="762" spans="10:11" x14ac:dyDescent="0.25">
      <c r="J762" s="442"/>
      <c r="K762" s="442"/>
    </row>
    <row r="763" spans="10:11" x14ac:dyDescent="0.25">
      <c r="J763" s="442"/>
      <c r="K763" s="442"/>
    </row>
    <row r="764" spans="10:11" x14ac:dyDescent="0.25">
      <c r="J764" s="442"/>
      <c r="K764" s="442"/>
    </row>
    <row r="765" spans="10:11" x14ac:dyDescent="0.25">
      <c r="J765" s="442"/>
      <c r="K765" s="442"/>
    </row>
    <row r="766" spans="10:11" x14ac:dyDescent="0.25">
      <c r="J766" s="442"/>
      <c r="K766" s="442"/>
    </row>
    <row r="767" spans="10:11" x14ac:dyDescent="0.25">
      <c r="J767" s="442"/>
      <c r="K767" s="442"/>
    </row>
    <row r="768" spans="10:11" x14ac:dyDescent="0.25">
      <c r="J768" s="442"/>
      <c r="K768" s="442"/>
    </row>
    <row r="769" spans="10:11" x14ac:dyDescent="0.25">
      <c r="J769" s="442"/>
      <c r="K769" s="442"/>
    </row>
    <row r="770" spans="10:11" x14ac:dyDescent="0.25">
      <c r="J770" s="442"/>
      <c r="K770" s="442"/>
    </row>
    <row r="771" spans="10:11" x14ac:dyDescent="0.25">
      <c r="J771" s="442"/>
      <c r="K771" s="442"/>
    </row>
    <row r="772" spans="10:11" x14ac:dyDescent="0.25">
      <c r="J772" s="442"/>
      <c r="K772" s="442"/>
    </row>
    <row r="773" spans="10:11" x14ac:dyDescent="0.25">
      <c r="J773" s="442"/>
      <c r="K773" s="442"/>
    </row>
    <row r="774" spans="10:11" x14ac:dyDescent="0.25">
      <c r="J774" s="442"/>
      <c r="K774" s="442"/>
    </row>
    <row r="775" spans="10:11" x14ac:dyDescent="0.25">
      <c r="J775" s="442"/>
      <c r="K775" s="442"/>
    </row>
    <row r="776" spans="10:11" x14ac:dyDescent="0.25">
      <c r="J776" s="442"/>
      <c r="K776" s="442"/>
    </row>
    <row r="777" spans="10:11" x14ac:dyDescent="0.25">
      <c r="J777" s="442"/>
      <c r="K777" s="442"/>
    </row>
    <row r="778" spans="10:11" x14ac:dyDescent="0.25">
      <c r="J778" s="442"/>
      <c r="K778" s="442"/>
    </row>
    <row r="779" spans="10:11" x14ac:dyDescent="0.25">
      <c r="J779" s="442"/>
      <c r="K779" s="442"/>
    </row>
    <row r="780" spans="10:11" x14ac:dyDescent="0.25">
      <c r="J780" s="442"/>
      <c r="K780" s="442"/>
    </row>
    <row r="781" spans="10:11" x14ac:dyDescent="0.25">
      <c r="J781" s="442"/>
      <c r="K781" s="442"/>
    </row>
    <row r="782" spans="10:11" x14ac:dyDescent="0.25">
      <c r="J782" s="442"/>
      <c r="K782" s="442"/>
    </row>
    <row r="783" spans="10:11" x14ac:dyDescent="0.25">
      <c r="J783" s="442"/>
      <c r="K783" s="442"/>
    </row>
    <row r="784" spans="10:11" x14ac:dyDescent="0.25">
      <c r="J784" s="442"/>
      <c r="K784" s="442"/>
    </row>
    <row r="785" spans="10:11" x14ac:dyDescent="0.25">
      <c r="J785" s="442"/>
      <c r="K785" s="442"/>
    </row>
    <row r="786" spans="10:11" x14ac:dyDescent="0.25">
      <c r="J786" s="442"/>
      <c r="K786" s="442"/>
    </row>
    <row r="787" spans="10:11" x14ac:dyDescent="0.25">
      <c r="J787" s="442"/>
      <c r="K787" s="442"/>
    </row>
    <row r="788" spans="10:11" x14ac:dyDescent="0.25">
      <c r="J788" s="442"/>
      <c r="K788" s="442"/>
    </row>
    <row r="789" spans="10:11" x14ac:dyDescent="0.25">
      <c r="J789" s="442"/>
      <c r="K789" s="442"/>
    </row>
    <row r="790" spans="10:11" x14ac:dyDescent="0.25">
      <c r="J790" s="442"/>
      <c r="K790" s="442"/>
    </row>
    <row r="791" spans="10:11" x14ac:dyDescent="0.25">
      <c r="J791" s="442"/>
      <c r="K791" s="442"/>
    </row>
    <row r="792" spans="10:11" x14ac:dyDescent="0.25">
      <c r="J792" s="442"/>
      <c r="K792" s="442"/>
    </row>
    <row r="793" spans="10:11" x14ac:dyDescent="0.25">
      <c r="J793" s="442"/>
      <c r="K793" s="442"/>
    </row>
    <row r="794" spans="10:11" x14ac:dyDescent="0.25">
      <c r="J794" s="442"/>
      <c r="K794" s="442"/>
    </row>
    <row r="795" spans="10:11" x14ac:dyDescent="0.25">
      <c r="J795" s="442"/>
      <c r="K795" s="442"/>
    </row>
    <row r="796" spans="10:11" x14ac:dyDescent="0.25">
      <c r="J796" s="442"/>
      <c r="K796" s="442"/>
    </row>
    <row r="797" spans="10:11" x14ac:dyDescent="0.25">
      <c r="J797" s="442"/>
      <c r="K797" s="442"/>
    </row>
    <row r="798" spans="10:11" x14ac:dyDescent="0.25">
      <c r="J798" s="442"/>
      <c r="K798" s="442"/>
    </row>
    <row r="799" spans="10:11" x14ac:dyDescent="0.25">
      <c r="J799" s="442"/>
      <c r="K799" s="442"/>
    </row>
    <row r="800" spans="10:11" x14ac:dyDescent="0.25">
      <c r="J800" s="442"/>
      <c r="K800" s="442"/>
    </row>
    <row r="801" spans="10:11" x14ac:dyDescent="0.25">
      <c r="J801" s="442"/>
      <c r="K801" s="442"/>
    </row>
    <row r="802" spans="10:11" x14ac:dyDescent="0.25">
      <c r="J802" s="442"/>
      <c r="K802" s="442"/>
    </row>
    <row r="803" spans="10:11" x14ac:dyDescent="0.25">
      <c r="J803" s="442"/>
      <c r="K803" s="442"/>
    </row>
    <row r="804" spans="10:11" x14ac:dyDescent="0.25">
      <c r="J804" s="442"/>
      <c r="K804" s="442"/>
    </row>
    <row r="805" spans="10:11" x14ac:dyDescent="0.25">
      <c r="J805" s="442"/>
      <c r="K805" s="442"/>
    </row>
    <row r="806" spans="10:11" x14ac:dyDescent="0.25">
      <c r="J806" s="442"/>
      <c r="K806" s="442"/>
    </row>
    <row r="807" spans="10:11" x14ac:dyDescent="0.25">
      <c r="J807" s="442"/>
      <c r="K807" s="442"/>
    </row>
    <row r="808" spans="10:11" x14ac:dyDescent="0.25">
      <c r="J808" s="442"/>
      <c r="K808" s="442"/>
    </row>
    <row r="809" spans="10:11" x14ac:dyDescent="0.25">
      <c r="J809" s="442"/>
      <c r="K809" s="442"/>
    </row>
    <row r="810" spans="10:11" x14ac:dyDescent="0.25">
      <c r="J810" s="442"/>
      <c r="K810" s="442"/>
    </row>
    <row r="811" spans="10:11" x14ac:dyDescent="0.25">
      <c r="J811" s="442"/>
      <c r="K811" s="442"/>
    </row>
    <row r="812" spans="10:11" x14ac:dyDescent="0.25">
      <c r="J812" s="442"/>
      <c r="K812" s="442"/>
    </row>
    <row r="813" spans="10:11" x14ac:dyDescent="0.25">
      <c r="J813" s="442"/>
      <c r="K813" s="442"/>
    </row>
    <row r="814" spans="10:11" x14ac:dyDescent="0.25">
      <c r="J814" s="442"/>
      <c r="K814" s="442"/>
    </row>
    <row r="815" spans="10:11" x14ac:dyDescent="0.25">
      <c r="J815" s="442"/>
      <c r="K815" s="442"/>
    </row>
    <row r="816" spans="10:11" x14ac:dyDescent="0.25">
      <c r="J816" s="442"/>
      <c r="K816" s="442"/>
    </row>
    <row r="817" spans="10:11" x14ac:dyDescent="0.25">
      <c r="J817" s="442"/>
      <c r="K817" s="442"/>
    </row>
    <row r="818" spans="10:11" x14ac:dyDescent="0.25">
      <c r="J818" s="442"/>
      <c r="K818" s="442"/>
    </row>
    <row r="819" spans="10:11" x14ac:dyDescent="0.25">
      <c r="J819" s="442"/>
      <c r="K819" s="442"/>
    </row>
    <row r="820" spans="10:11" x14ac:dyDescent="0.25">
      <c r="J820" s="442"/>
      <c r="K820" s="442"/>
    </row>
    <row r="821" spans="10:11" x14ac:dyDescent="0.25">
      <c r="J821" s="442"/>
      <c r="K821" s="442"/>
    </row>
    <row r="822" spans="10:11" x14ac:dyDescent="0.25">
      <c r="J822" s="442"/>
      <c r="K822" s="442"/>
    </row>
    <row r="823" spans="10:11" x14ac:dyDescent="0.25">
      <c r="J823" s="442"/>
      <c r="K823" s="442"/>
    </row>
    <row r="824" spans="10:11" x14ac:dyDescent="0.25">
      <c r="J824" s="442"/>
      <c r="K824" s="442"/>
    </row>
    <row r="825" spans="10:11" x14ac:dyDescent="0.25">
      <c r="J825" s="442"/>
      <c r="K825" s="442"/>
    </row>
    <row r="826" spans="10:11" x14ac:dyDescent="0.25">
      <c r="J826" s="442"/>
      <c r="K826" s="442"/>
    </row>
    <row r="827" spans="10:11" x14ac:dyDescent="0.25">
      <c r="J827" s="442"/>
      <c r="K827" s="442"/>
    </row>
    <row r="828" spans="10:11" x14ac:dyDescent="0.25">
      <c r="J828" s="442"/>
      <c r="K828" s="442"/>
    </row>
    <row r="829" spans="10:11" x14ac:dyDescent="0.25">
      <c r="J829" s="442"/>
      <c r="K829" s="442"/>
    </row>
    <row r="830" spans="10:11" x14ac:dyDescent="0.25">
      <c r="J830" s="442"/>
      <c r="K830" s="442"/>
    </row>
    <row r="831" spans="10:11" x14ac:dyDescent="0.25">
      <c r="J831" s="442"/>
      <c r="K831" s="442"/>
    </row>
    <row r="832" spans="10:11" x14ac:dyDescent="0.25">
      <c r="J832" s="442"/>
      <c r="K832" s="442"/>
    </row>
    <row r="833" spans="10:11" x14ac:dyDescent="0.25">
      <c r="J833" s="442"/>
      <c r="K833" s="442"/>
    </row>
    <row r="834" spans="10:11" x14ac:dyDescent="0.25">
      <c r="J834" s="442"/>
      <c r="K834" s="442"/>
    </row>
    <row r="835" spans="10:11" x14ac:dyDescent="0.25">
      <c r="J835" s="442"/>
      <c r="K835" s="442"/>
    </row>
    <row r="836" spans="10:11" x14ac:dyDescent="0.25">
      <c r="J836" s="442"/>
      <c r="K836" s="442"/>
    </row>
    <row r="837" spans="10:11" x14ac:dyDescent="0.25">
      <c r="J837" s="442"/>
      <c r="K837" s="442"/>
    </row>
    <row r="838" spans="10:11" x14ac:dyDescent="0.25">
      <c r="J838" s="442"/>
      <c r="K838" s="442"/>
    </row>
    <row r="839" spans="10:11" x14ac:dyDescent="0.25">
      <c r="J839" s="442"/>
      <c r="K839" s="442"/>
    </row>
    <row r="840" spans="10:11" x14ac:dyDescent="0.25">
      <c r="J840" s="442"/>
      <c r="K840" s="442"/>
    </row>
    <row r="841" spans="10:11" x14ac:dyDescent="0.25">
      <c r="J841" s="442"/>
      <c r="K841" s="442"/>
    </row>
    <row r="842" spans="10:11" x14ac:dyDescent="0.25">
      <c r="J842" s="442"/>
      <c r="K842" s="442"/>
    </row>
    <row r="843" spans="10:11" x14ac:dyDescent="0.25">
      <c r="J843" s="442"/>
      <c r="K843" s="442"/>
    </row>
    <row r="844" spans="10:11" x14ac:dyDescent="0.25">
      <c r="J844" s="442"/>
      <c r="K844" s="442"/>
    </row>
    <row r="845" spans="10:11" x14ac:dyDescent="0.25">
      <c r="J845" s="442"/>
      <c r="K845" s="442"/>
    </row>
    <row r="846" spans="10:11" x14ac:dyDescent="0.25">
      <c r="J846" s="442"/>
      <c r="K846" s="442"/>
    </row>
    <row r="847" spans="10:11" x14ac:dyDescent="0.25">
      <c r="J847" s="442"/>
      <c r="K847" s="442"/>
    </row>
    <row r="848" spans="10:11" x14ac:dyDescent="0.25">
      <c r="J848" s="442"/>
      <c r="K848" s="442"/>
    </row>
    <row r="849" spans="10:11" x14ac:dyDescent="0.25">
      <c r="J849" s="442"/>
      <c r="K849" s="442"/>
    </row>
    <row r="850" spans="10:11" x14ac:dyDescent="0.25">
      <c r="J850" s="442"/>
      <c r="K850" s="442"/>
    </row>
    <row r="851" spans="10:11" x14ac:dyDescent="0.25">
      <c r="J851" s="442"/>
      <c r="K851" s="442"/>
    </row>
    <row r="852" spans="10:11" x14ac:dyDescent="0.25">
      <c r="J852" s="442"/>
      <c r="K852" s="442"/>
    </row>
    <row r="853" spans="10:11" x14ac:dyDescent="0.25">
      <c r="J853" s="442"/>
      <c r="K853" s="442"/>
    </row>
    <row r="854" spans="10:11" x14ac:dyDescent="0.25">
      <c r="J854" s="442"/>
      <c r="K854" s="442"/>
    </row>
    <row r="855" spans="10:11" x14ac:dyDescent="0.25">
      <c r="J855" s="442"/>
      <c r="K855" s="442"/>
    </row>
    <row r="856" spans="10:11" x14ac:dyDescent="0.25">
      <c r="J856" s="442"/>
      <c r="K856" s="442"/>
    </row>
    <row r="857" spans="10:11" x14ac:dyDescent="0.25">
      <c r="J857" s="442"/>
      <c r="K857" s="442"/>
    </row>
    <row r="858" spans="10:11" x14ac:dyDescent="0.25">
      <c r="J858" s="442"/>
      <c r="K858" s="442"/>
    </row>
    <row r="859" spans="10:11" x14ac:dyDescent="0.25">
      <c r="J859" s="442"/>
      <c r="K859" s="442"/>
    </row>
    <row r="860" spans="10:11" x14ac:dyDescent="0.25">
      <c r="J860" s="442"/>
      <c r="K860" s="442"/>
    </row>
    <row r="861" spans="10:11" x14ac:dyDescent="0.25">
      <c r="J861" s="442"/>
      <c r="K861" s="442"/>
    </row>
    <row r="862" spans="10:11" x14ac:dyDescent="0.25">
      <c r="J862" s="442"/>
      <c r="K862" s="442"/>
    </row>
    <row r="863" spans="10:11" x14ac:dyDescent="0.25">
      <c r="J863" s="442"/>
      <c r="K863" s="442"/>
    </row>
    <row r="864" spans="10:11" x14ac:dyDescent="0.25">
      <c r="J864" s="442"/>
      <c r="K864" s="442"/>
    </row>
    <row r="865" spans="10:11" x14ac:dyDescent="0.25">
      <c r="J865" s="442"/>
      <c r="K865" s="442"/>
    </row>
    <row r="866" spans="10:11" x14ac:dyDescent="0.25">
      <c r="J866" s="442"/>
      <c r="K866" s="442"/>
    </row>
    <row r="867" spans="10:11" x14ac:dyDescent="0.25">
      <c r="J867" s="442"/>
      <c r="K867" s="442"/>
    </row>
    <row r="868" spans="10:11" x14ac:dyDescent="0.25">
      <c r="J868" s="442"/>
      <c r="K868" s="442"/>
    </row>
    <row r="869" spans="10:11" x14ac:dyDescent="0.25">
      <c r="J869" s="442"/>
      <c r="K869" s="442"/>
    </row>
    <row r="870" spans="10:11" x14ac:dyDescent="0.25">
      <c r="J870" s="442"/>
      <c r="K870" s="442"/>
    </row>
    <row r="871" spans="10:11" x14ac:dyDescent="0.25">
      <c r="J871" s="442"/>
      <c r="K871" s="442"/>
    </row>
    <row r="872" spans="10:11" x14ac:dyDescent="0.25">
      <c r="J872" s="442"/>
      <c r="K872" s="442"/>
    </row>
    <row r="873" spans="10:11" x14ac:dyDescent="0.25">
      <c r="J873" s="442"/>
      <c r="K873" s="442"/>
    </row>
    <row r="874" spans="10:11" x14ac:dyDescent="0.25">
      <c r="J874" s="442"/>
      <c r="K874" s="442"/>
    </row>
    <row r="875" spans="10:11" x14ac:dyDescent="0.25">
      <c r="J875" s="442"/>
      <c r="K875" s="442"/>
    </row>
    <row r="876" spans="10:11" x14ac:dyDescent="0.25">
      <c r="J876" s="442"/>
      <c r="K876" s="442"/>
    </row>
    <row r="877" spans="10:11" x14ac:dyDescent="0.25">
      <c r="J877" s="442"/>
      <c r="K877" s="442"/>
    </row>
    <row r="878" spans="10:11" x14ac:dyDescent="0.25">
      <c r="J878" s="442"/>
      <c r="K878" s="442"/>
    </row>
    <row r="879" spans="10:11" x14ac:dyDescent="0.25">
      <c r="J879" s="442"/>
      <c r="K879" s="442"/>
    </row>
    <row r="880" spans="10:11" x14ac:dyDescent="0.25">
      <c r="J880" s="442"/>
      <c r="K880" s="442"/>
    </row>
    <row r="881" spans="10:11" x14ac:dyDescent="0.25">
      <c r="J881" s="442"/>
      <c r="K881" s="442"/>
    </row>
    <row r="882" spans="10:11" x14ac:dyDescent="0.25">
      <c r="J882" s="442"/>
      <c r="K882" s="442"/>
    </row>
    <row r="883" spans="10:11" x14ac:dyDescent="0.25">
      <c r="J883" s="442"/>
      <c r="K883" s="442"/>
    </row>
    <row r="884" spans="10:11" x14ac:dyDescent="0.25">
      <c r="J884" s="442"/>
      <c r="K884" s="442"/>
    </row>
    <row r="885" spans="10:11" x14ac:dyDescent="0.25">
      <c r="J885" s="442"/>
      <c r="K885" s="442"/>
    </row>
    <row r="886" spans="10:11" x14ac:dyDescent="0.25">
      <c r="J886" s="442"/>
      <c r="K886" s="442"/>
    </row>
    <row r="887" spans="10:11" x14ac:dyDescent="0.25">
      <c r="J887" s="442"/>
      <c r="K887" s="442"/>
    </row>
    <row r="888" spans="10:11" x14ac:dyDescent="0.25">
      <c r="J888" s="442"/>
      <c r="K888" s="442"/>
    </row>
    <row r="889" spans="10:11" x14ac:dyDescent="0.25">
      <c r="J889" s="442"/>
      <c r="K889" s="442"/>
    </row>
    <row r="890" spans="10:11" x14ac:dyDescent="0.25">
      <c r="J890" s="442"/>
      <c r="K890" s="442"/>
    </row>
    <row r="891" spans="10:11" x14ac:dyDescent="0.25">
      <c r="J891" s="442"/>
      <c r="K891" s="442"/>
    </row>
    <row r="892" spans="10:11" x14ac:dyDescent="0.25">
      <c r="J892" s="442"/>
      <c r="K892" s="442"/>
    </row>
    <row r="893" spans="10:11" x14ac:dyDescent="0.25">
      <c r="J893" s="442"/>
      <c r="K893" s="442"/>
    </row>
    <row r="894" spans="10:11" x14ac:dyDescent="0.25">
      <c r="J894" s="442"/>
      <c r="K894" s="442"/>
    </row>
    <row r="895" spans="10:11" x14ac:dyDescent="0.25">
      <c r="J895" s="442"/>
      <c r="K895" s="442"/>
    </row>
    <row r="896" spans="10:11" x14ac:dyDescent="0.25">
      <c r="J896" s="442"/>
      <c r="K896" s="442"/>
    </row>
    <row r="897" spans="10:11" x14ac:dyDescent="0.25">
      <c r="J897" s="442"/>
      <c r="K897" s="442"/>
    </row>
    <row r="898" spans="10:11" x14ac:dyDescent="0.25">
      <c r="J898" s="442"/>
      <c r="K898" s="442"/>
    </row>
    <row r="899" spans="10:11" x14ac:dyDescent="0.25">
      <c r="J899" s="442"/>
      <c r="K899" s="442"/>
    </row>
    <row r="900" spans="10:11" x14ac:dyDescent="0.25">
      <c r="J900" s="442"/>
      <c r="K900" s="442"/>
    </row>
    <row r="901" spans="10:11" x14ac:dyDescent="0.25">
      <c r="J901" s="442"/>
      <c r="K901" s="442"/>
    </row>
    <row r="902" spans="10:11" x14ac:dyDescent="0.25">
      <c r="J902" s="442"/>
      <c r="K902" s="442"/>
    </row>
    <row r="903" spans="10:11" x14ac:dyDescent="0.25">
      <c r="J903" s="442"/>
      <c r="K903" s="442"/>
    </row>
    <row r="904" spans="10:11" x14ac:dyDescent="0.25">
      <c r="J904" s="442"/>
      <c r="K904" s="442"/>
    </row>
    <row r="905" spans="10:11" x14ac:dyDescent="0.25">
      <c r="J905" s="442"/>
      <c r="K905" s="442"/>
    </row>
    <row r="906" spans="10:11" x14ac:dyDescent="0.25">
      <c r="J906" s="442"/>
      <c r="K906" s="442"/>
    </row>
    <row r="907" spans="10:11" x14ac:dyDescent="0.25">
      <c r="J907" s="442"/>
      <c r="K907" s="442"/>
    </row>
    <row r="908" spans="10:11" x14ac:dyDescent="0.25">
      <c r="J908" s="442"/>
      <c r="K908" s="442"/>
    </row>
    <row r="909" spans="10:11" x14ac:dyDescent="0.25">
      <c r="J909" s="442"/>
      <c r="K909" s="442"/>
    </row>
    <row r="910" spans="10:11" x14ac:dyDescent="0.25">
      <c r="J910" s="442"/>
      <c r="K910" s="442"/>
    </row>
    <row r="911" spans="10:11" x14ac:dyDescent="0.25">
      <c r="J911" s="442"/>
      <c r="K911" s="442"/>
    </row>
    <row r="912" spans="10:11" x14ac:dyDescent="0.25">
      <c r="J912" s="442"/>
      <c r="K912" s="442"/>
    </row>
    <row r="913" spans="10:11" x14ac:dyDescent="0.25">
      <c r="J913" s="442"/>
      <c r="K913" s="442"/>
    </row>
    <row r="914" spans="10:11" x14ac:dyDescent="0.25">
      <c r="J914" s="442"/>
      <c r="K914" s="442"/>
    </row>
    <row r="915" spans="10:11" x14ac:dyDescent="0.25">
      <c r="J915" s="442"/>
      <c r="K915" s="442"/>
    </row>
    <row r="916" spans="10:11" x14ac:dyDescent="0.25">
      <c r="J916" s="442"/>
      <c r="K916" s="442"/>
    </row>
    <row r="917" spans="10:11" x14ac:dyDescent="0.25">
      <c r="J917" s="442"/>
      <c r="K917" s="442"/>
    </row>
    <row r="918" spans="10:11" x14ac:dyDescent="0.25">
      <c r="J918" s="442"/>
      <c r="K918" s="442"/>
    </row>
    <row r="919" spans="10:11" x14ac:dyDescent="0.25">
      <c r="J919" s="442"/>
      <c r="K919" s="442"/>
    </row>
    <row r="920" spans="10:11" x14ac:dyDescent="0.25">
      <c r="J920" s="442"/>
      <c r="K920" s="442"/>
    </row>
    <row r="921" spans="10:11" x14ac:dyDescent="0.25">
      <c r="J921" s="442"/>
      <c r="K921" s="442"/>
    </row>
    <row r="922" spans="10:11" x14ac:dyDescent="0.25">
      <c r="J922" s="442"/>
      <c r="K922" s="442"/>
    </row>
    <row r="923" spans="10:11" x14ac:dyDescent="0.25">
      <c r="J923" s="442"/>
      <c r="K923" s="442"/>
    </row>
    <row r="924" spans="10:11" x14ac:dyDescent="0.25">
      <c r="J924" s="442"/>
      <c r="K924" s="442"/>
    </row>
    <row r="925" spans="10:11" x14ac:dyDescent="0.25">
      <c r="J925" s="442"/>
      <c r="K925" s="442"/>
    </row>
    <row r="926" spans="10:11" x14ac:dyDescent="0.25">
      <c r="J926" s="442"/>
      <c r="K926" s="442"/>
    </row>
    <row r="927" spans="10:11" x14ac:dyDescent="0.25">
      <c r="J927" s="442"/>
      <c r="K927" s="442"/>
    </row>
    <row r="928" spans="10:11" x14ac:dyDescent="0.25">
      <c r="J928" s="442"/>
      <c r="K928" s="442"/>
    </row>
    <row r="929" spans="10:11" x14ac:dyDescent="0.25">
      <c r="J929" s="442"/>
      <c r="K929" s="442"/>
    </row>
    <row r="930" spans="10:11" x14ac:dyDescent="0.25">
      <c r="J930" s="442"/>
      <c r="K930" s="442"/>
    </row>
    <row r="931" spans="10:11" x14ac:dyDescent="0.25">
      <c r="J931" s="442"/>
      <c r="K931" s="442"/>
    </row>
    <row r="932" spans="10:11" x14ac:dyDescent="0.25">
      <c r="J932" s="442"/>
      <c r="K932" s="442"/>
    </row>
    <row r="933" spans="10:11" x14ac:dyDescent="0.25">
      <c r="J933" s="442"/>
      <c r="K933" s="442"/>
    </row>
    <row r="934" spans="10:11" x14ac:dyDescent="0.25">
      <c r="J934" s="442"/>
      <c r="K934" s="442"/>
    </row>
    <row r="935" spans="10:11" x14ac:dyDescent="0.25">
      <c r="J935" s="442"/>
      <c r="K935" s="442"/>
    </row>
    <row r="936" spans="10:11" x14ac:dyDescent="0.25">
      <c r="J936" s="442"/>
      <c r="K936" s="442"/>
    </row>
    <row r="937" spans="10:11" x14ac:dyDescent="0.25">
      <c r="J937" s="442"/>
      <c r="K937" s="442"/>
    </row>
    <row r="938" spans="10:11" x14ac:dyDescent="0.25">
      <c r="J938" s="442"/>
      <c r="K938" s="442"/>
    </row>
    <row r="939" spans="10:11" x14ac:dyDescent="0.25">
      <c r="J939" s="442"/>
      <c r="K939" s="442"/>
    </row>
    <row r="940" spans="10:11" x14ac:dyDescent="0.25">
      <c r="J940" s="442"/>
      <c r="K940" s="442"/>
    </row>
    <row r="941" spans="10:11" x14ac:dyDescent="0.25">
      <c r="J941" s="442"/>
      <c r="K941" s="442"/>
    </row>
    <row r="942" spans="10:11" x14ac:dyDescent="0.25">
      <c r="J942" s="442"/>
      <c r="K942" s="442"/>
    </row>
    <row r="943" spans="10:11" x14ac:dyDescent="0.25">
      <c r="J943" s="442"/>
      <c r="K943" s="442"/>
    </row>
    <row r="944" spans="10:11" x14ac:dyDescent="0.25">
      <c r="J944" s="442"/>
      <c r="K944" s="442"/>
    </row>
    <row r="945" spans="10:11" x14ac:dyDescent="0.25">
      <c r="J945" s="442"/>
      <c r="K945" s="442"/>
    </row>
    <row r="946" spans="10:11" x14ac:dyDescent="0.25">
      <c r="J946" s="442"/>
      <c r="K946" s="442"/>
    </row>
    <row r="947" spans="10:11" x14ac:dyDescent="0.25">
      <c r="J947" s="442"/>
      <c r="K947" s="442"/>
    </row>
    <row r="948" spans="10:11" x14ac:dyDescent="0.25">
      <c r="J948" s="442"/>
      <c r="K948" s="442"/>
    </row>
    <row r="949" spans="10:11" x14ac:dyDescent="0.25">
      <c r="J949" s="442"/>
      <c r="K949" s="442"/>
    </row>
    <row r="950" spans="10:11" x14ac:dyDescent="0.25">
      <c r="J950" s="442"/>
      <c r="K950" s="442"/>
    </row>
    <row r="951" spans="10:11" x14ac:dyDescent="0.25">
      <c r="J951" s="442"/>
      <c r="K951" s="442"/>
    </row>
    <row r="952" spans="10:11" x14ac:dyDescent="0.25">
      <c r="J952" s="442"/>
      <c r="K952" s="442"/>
    </row>
    <row r="953" spans="10:11" x14ac:dyDescent="0.25">
      <c r="J953" s="442"/>
      <c r="K953" s="442"/>
    </row>
    <row r="954" spans="10:11" x14ac:dyDescent="0.25">
      <c r="J954" s="442"/>
      <c r="K954" s="442"/>
    </row>
    <row r="955" spans="10:11" x14ac:dyDescent="0.25">
      <c r="J955" s="442"/>
      <c r="K955" s="442"/>
    </row>
    <row r="956" spans="10:11" x14ac:dyDescent="0.25">
      <c r="J956" s="442"/>
      <c r="K956" s="442"/>
    </row>
    <row r="957" spans="10:11" x14ac:dyDescent="0.25">
      <c r="J957" s="442"/>
      <c r="K957" s="442"/>
    </row>
    <row r="958" spans="10:11" x14ac:dyDescent="0.25">
      <c r="J958" s="442"/>
      <c r="K958" s="442"/>
    </row>
    <row r="959" spans="10:11" x14ac:dyDescent="0.25">
      <c r="J959" s="442"/>
      <c r="K959" s="442"/>
    </row>
    <row r="960" spans="10:11" x14ac:dyDescent="0.25">
      <c r="J960" s="442"/>
      <c r="K960" s="442"/>
    </row>
    <row r="961" spans="10:11" x14ac:dyDescent="0.25">
      <c r="J961" s="442"/>
      <c r="K961" s="442"/>
    </row>
    <row r="962" spans="10:11" x14ac:dyDescent="0.25">
      <c r="J962" s="442"/>
      <c r="K962" s="442"/>
    </row>
    <row r="963" spans="10:11" x14ac:dyDescent="0.25">
      <c r="J963" s="442"/>
      <c r="K963" s="442"/>
    </row>
    <row r="964" spans="10:11" x14ac:dyDescent="0.25">
      <c r="J964" s="442"/>
      <c r="K964" s="442"/>
    </row>
    <row r="965" spans="10:11" x14ac:dyDescent="0.25">
      <c r="J965" s="442"/>
      <c r="K965" s="442"/>
    </row>
    <row r="966" spans="10:11" x14ac:dyDescent="0.25">
      <c r="J966" s="442"/>
      <c r="K966" s="442"/>
    </row>
    <row r="967" spans="10:11" x14ac:dyDescent="0.25">
      <c r="J967" s="442"/>
      <c r="K967" s="442"/>
    </row>
    <row r="968" spans="10:11" x14ac:dyDescent="0.25">
      <c r="J968" s="442"/>
      <c r="K968" s="442"/>
    </row>
    <row r="969" spans="10:11" x14ac:dyDescent="0.25">
      <c r="J969" s="442"/>
      <c r="K969" s="442"/>
    </row>
    <row r="970" spans="10:11" x14ac:dyDescent="0.25">
      <c r="J970" s="442"/>
      <c r="K970" s="442"/>
    </row>
    <row r="971" spans="10:11" x14ac:dyDescent="0.25">
      <c r="J971" s="442"/>
      <c r="K971" s="442"/>
    </row>
    <row r="972" spans="10:11" x14ac:dyDescent="0.25">
      <c r="J972" s="442"/>
      <c r="K972" s="442"/>
    </row>
    <row r="973" spans="10:11" x14ac:dyDescent="0.25">
      <c r="J973" s="442"/>
      <c r="K973" s="442"/>
    </row>
    <row r="974" spans="10:11" x14ac:dyDescent="0.25">
      <c r="J974" s="442"/>
      <c r="K974" s="442"/>
    </row>
    <row r="975" spans="10:11" x14ac:dyDescent="0.25">
      <c r="J975" s="442"/>
      <c r="K975" s="442"/>
    </row>
    <row r="976" spans="10:11" x14ac:dyDescent="0.25">
      <c r="J976" s="442"/>
      <c r="K976" s="442"/>
    </row>
    <row r="977" spans="10:11" x14ac:dyDescent="0.25">
      <c r="J977" s="442"/>
      <c r="K977" s="442"/>
    </row>
    <row r="978" spans="10:11" x14ac:dyDescent="0.25">
      <c r="J978" s="442"/>
      <c r="K978" s="442"/>
    </row>
    <row r="979" spans="10:11" x14ac:dyDescent="0.25">
      <c r="J979" s="442"/>
      <c r="K979" s="442"/>
    </row>
    <row r="980" spans="10:11" x14ac:dyDescent="0.25">
      <c r="J980" s="442"/>
      <c r="K980" s="442"/>
    </row>
    <row r="981" spans="10:11" x14ac:dyDescent="0.25">
      <c r="J981" s="442"/>
      <c r="K981" s="442"/>
    </row>
    <row r="982" spans="10:11" x14ac:dyDescent="0.25">
      <c r="J982" s="442"/>
      <c r="K982" s="442"/>
    </row>
    <row r="983" spans="10:11" x14ac:dyDescent="0.25">
      <c r="J983" s="442"/>
      <c r="K983" s="442"/>
    </row>
    <row r="984" spans="10:11" x14ac:dyDescent="0.25">
      <c r="J984" s="442"/>
      <c r="K984" s="442"/>
    </row>
    <row r="985" spans="10:11" x14ac:dyDescent="0.25">
      <c r="J985" s="442"/>
      <c r="K985" s="442"/>
    </row>
    <row r="986" spans="10:11" x14ac:dyDescent="0.25">
      <c r="J986" s="442"/>
      <c r="K986" s="442"/>
    </row>
    <row r="987" spans="10:11" x14ac:dyDescent="0.25">
      <c r="J987" s="442"/>
      <c r="K987" s="442"/>
    </row>
    <row r="988" spans="10:11" x14ac:dyDescent="0.25">
      <c r="J988" s="442"/>
      <c r="K988" s="442"/>
    </row>
    <row r="989" spans="10:11" x14ac:dyDescent="0.25">
      <c r="J989" s="442"/>
      <c r="K989" s="442"/>
    </row>
    <row r="990" spans="10:11" x14ac:dyDescent="0.25">
      <c r="J990" s="442"/>
      <c r="K990" s="442"/>
    </row>
    <row r="991" spans="10:11" x14ac:dyDescent="0.25">
      <c r="J991" s="442"/>
      <c r="K991" s="442"/>
    </row>
    <row r="992" spans="10:11" x14ac:dyDescent="0.25">
      <c r="J992" s="442"/>
      <c r="K992" s="442"/>
    </row>
    <row r="993" spans="10:11" x14ac:dyDescent="0.25">
      <c r="J993" s="442"/>
      <c r="K993" s="442"/>
    </row>
    <row r="994" spans="10:11" x14ac:dyDescent="0.25">
      <c r="J994" s="442"/>
      <c r="K994" s="442"/>
    </row>
    <row r="995" spans="10:11" x14ac:dyDescent="0.25">
      <c r="J995" s="442"/>
      <c r="K995" s="442"/>
    </row>
    <row r="996" spans="10:11" x14ac:dyDescent="0.25">
      <c r="J996" s="442"/>
      <c r="K996" s="442"/>
    </row>
    <row r="997" spans="10:11" x14ac:dyDescent="0.25">
      <c r="J997" s="442"/>
      <c r="K997" s="442"/>
    </row>
    <row r="998" spans="10:11" x14ac:dyDescent="0.25">
      <c r="J998" s="442"/>
      <c r="K998" s="442"/>
    </row>
    <row r="999" spans="10:11" x14ac:dyDescent="0.25">
      <c r="J999" s="442"/>
      <c r="K999" s="442"/>
    </row>
    <row r="1000" spans="10:11" x14ac:dyDescent="0.25">
      <c r="J1000" s="442"/>
      <c r="K1000" s="442"/>
    </row>
    <row r="1001" spans="10:11" x14ac:dyDescent="0.25">
      <c r="J1001" s="442"/>
      <c r="K1001" s="442"/>
    </row>
    <row r="1002" spans="10:11" x14ac:dyDescent="0.25">
      <c r="J1002" s="442"/>
      <c r="K1002" s="442"/>
    </row>
    <row r="1003" spans="10:11" x14ac:dyDescent="0.25">
      <c r="J1003" s="442"/>
      <c r="K1003" s="442"/>
    </row>
    <row r="1004" spans="10:11" x14ac:dyDescent="0.25">
      <c r="J1004" s="442"/>
      <c r="K1004" s="442"/>
    </row>
    <row r="1005" spans="10:11" x14ac:dyDescent="0.25">
      <c r="J1005" s="442"/>
      <c r="K1005" s="442"/>
    </row>
    <row r="1006" spans="10:11" x14ac:dyDescent="0.25">
      <c r="J1006" s="442"/>
      <c r="K1006" s="442"/>
    </row>
    <row r="1007" spans="10:11" x14ac:dyDescent="0.25">
      <c r="J1007" s="442"/>
      <c r="K1007" s="442"/>
    </row>
    <row r="1008" spans="10:11" x14ac:dyDescent="0.25">
      <c r="J1008" s="442"/>
      <c r="K1008" s="442"/>
    </row>
    <row r="1009" spans="10:11" x14ac:dyDescent="0.25">
      <c r="J1009" s="442"/>
      <c r="K1009" s="442"/>
    </row>
    <row r="1010" spans="10:11" x14ac:dyDescent="0.25">
      <c r="J1010" s="442"/>
      <c r="K1010" s="442"/>
    </row>
    <row r="1011" spans="10:11" x14ac:dyDescent="0.25">
      <c r="J1011" s="442"/>
      <c r="K1011" s="442"/>
    </row>
    <row r="1012" spans="10:11" x14ac:dyDescent="0.25">
      <c r="J1012" s="442"/>
      <c r="K1012" s="442"/>
    </row>
    <row r="1013" spans="10:11" x14ac:dyDescent="0.25">
      <c r="J1013" s="442"/>
      <c r="K1013" s="442"/>
    </row>
    <row r="1014" spans="10:11" x14ac:dyDescent="0.25">
      <c r="J1014" s="442"/>
      <c r="K1014" s="442"/>
    </row>
    <row r="1015" spans="10:11" x14ac:dyDescent="0.25">
      <c r="J1015" s="442"/>
      <c r="K1015" s="442"/>
    </row>
    <row r="1016" spans="10:11" x14ac:dyDescent="0.25">
      <c r="J1016" s="442"/>
      <c r="K1016" s="442"/>
    </row>
    <row r="1017" spans="10:11" x14ac:dyDescent="0.25">
      <c r="J1017" s="442"/>
      <c r="K1017" s="442"/>
    </row>
    <row r="1018" spans="10:11" x14ac:dyDescent="0.25">
      <c r="J1018" s="442"/>
      <c r="K1018" s="442"/>
    </row>
    <row r="1019" spans="10:11" x14ac:dyDescent="0.25">
      <c r="J1019" s="442"/>
      <c r="K1019" s="442"/>
    </row>
    <row r="1020" spans="10:11" x14ac:dyDescent="0.25">
      <c r="J1020" s="442"/>
      <c r="K1020" s="442"/>
    </row>
    <row r="1021" spans="10:11" x14ac:dyDescent="0.25">
      <c r="J1021" s="442"/>
      <c r="K1021" s="442"/>
    </row>
    <row r="1022" spans="10:11" x14ac:dyDescent="0.25">
      <c r="J1022" s="442"/>
      <c r="K1022" s="442"/>
    </row>
    <row r="1023" spans="10:11" x14ac:dyDescent="0.25">
      <c r="J1023" s="442"/>
      <c r="K1023" s="442"/>
    </row>
    <row r="1024" spans="10:11" x14ac:dyDescent="0.25">
      <c r="J1024" s="442"/>
      <c r="K1024" s="442"/>
    </row>
    <row r="1025" spans="10:11" x14ac:dyDescent="0.25">
      <c r="J1025" s="442"/>
      <c r="K1025" s="442"/>
    </row>
    <row r="1026" spans="10:11" x14ac:dyDescent="0.25">
      <c r="J1026" s="442"/>
      <c r="K1026" s="442"/>
    </row>
    <row r="1027" spans="10:11" x14ac:dyDescent="0.25">
      <c r="J1027" s="442"/>
      <c r="K1027" s="442"/>
    </row>
    <row r="1028" spans="10:11" x14ac:dyDescent="0.25">
      <c r="J1028" s="442"/>
      <c r="K1028" s="442"/>
    </row>
    <row r="1029" spans="10:11" x14ac:dyDescent="0.25">
      <c r="J1029" s="442"/>
      <c r="K1029" s="442"/>
    </row>
    <row r="1030" spans="10:11" x14ac:dyDescent="0.25">
      <c r="J1030" s="442"/>
      <c r="K1030" s="442"/>
    </row>
    <row r="1031" spans="10:11" x14ac:dyDescent="0.25">
      <c r="J1031" s="442"/>
      <c r="K1031" s="442"/>
    </row>
    <row r="1032" spans="10:11" x14ac:dyDescent="0.25">
      <c r="J1032" s="442"/>
      <c r="K1032" s="442"/>
    </row>
    <row r="1033" spans="10:11" x14ac:dyDescent="0.25">
      <c r="J1033" s="442"/>
      <c r="K1033" s="442"/>
    </row>
    <row r="1034" spans="10:11" x14ac:dyDescent="0.25">
      <c r="J1034" s="442"/>
      <c r="K1034" s="442"/>
    </row>
    <row r="1035" spans="10:11" x14ac:dyDescent="0.25">
      <c r="J1035" s="442"/>
      <c r="K1035" s="442"/>
    </row>
    <row r="1036" spans="10:11" x14ac:dyDescent="0.25">
      <c r="J1036" s="442"/>
      <c r="K1036" s="442"/>
    </row>
    <row r="1037" spans="10:11" x14ac:dyDescent="0.25">
      <c r="J1037" s="442"/>
      <c r="K1037" s="442"/>
    </row>
    <row r="1038" spans="10:11" x14ac:dyDescent="0.25">
      <c r="J1038" s="442"/>
      <c r="K1038" s="442"/>
    </row>
    <row r="1039" spans="10:11" x14ac:dyDescent="0.25">
      <c r="J1039" s="442"/>
      <c r="K1039" s="442"/>
    </row>
    <row r="1040" spans="10:11" x14ac:dyDescent="0.25">
      <c r="J1040" s="442"/>
      <c r="K1040" s="442"/>
    </row>
    <row r="1041" spans="10:11" x14ac:dyDescent="0.25">
      <c r="J1041" s="442"/>
      <c r="K1041" s="442"/>
    </row>
    <row r="1042" spans="10:11" x14ac:dyDescent="0.25">
      <c r="J1042" s="442"/>
      <c r="K1042" s="442"/>
    </row>
    <row r="1043" spans="10:11" x14ac:dyDescent="0.25">
      <c r="J1043" s="442"/>
      <c r="K1043" s="442"/>
    </row>
    <row r="1044" spans="10:11" x14ac:dyDescent="0.25">
      <c r="J1044" s="442"/>
      <c r="K1044" s="442"/>
    </row>
    <row r="1045" spans="10:11" x14ac:dyDescent="0.25">
      <c r="J1045" s="442"/>
      <c r="K1045" s="442"/>
    </row>
    <row r="1046" spans="10:11" x14ac:dyDescent="0.25">
      <c r="J1046" s="442"/>
      <c r="K1046" s="442"/>
    </row>
    <row r="1047" spans="10:11" x14ac:dyDescent="0.25">
      <c r="J1047" s="442"/>
      <c r="K1047" s="442"/>
    </row>
    <row r="1048" spans="10:11" x14ac:dyDescent="0.25">
      <c r="J1048" s="442"/>
      <c r="K1048" s="442"/>
    </row>
    <row r="1049" spans="10:11" x14ac:dyDescent="0.25">
      <c r="J1049" s="442"/>
      <c r="K1049" s="442"/>
    </row>
    <row r="1050" spans="10:11" x14ac:dyDescent="0.25">
      <c r="J1050" s="442"/>
      <c r="K1050" s="442"/>
    </row>
    <row r="1051" spans="10:11" x14ac:dyDescent="0.25">
      <c r="J1051" s="442"/>
      <c r="K1051" s="442"/>
    </row>
    <row r="1052" spans="10:11" x14ac:dyDescent="0.25">
      <c r="J1052" s="442"/>
      <c r="K1052" s="442"/>
    </row>
    <row r="1053" spans="10:11" x14ac:dyDescent="0.25">
      <c r="J1053" s="442"/>
      <c r="K1053" s="442"/>
    </row>
    <row r="1054" spans="10:11" x14ac:dyDescent="0.25">
      <c r="J1054" s="442"/>
      <c r="K1054" s="442"/>
    </row>
    <row r="1055" spans="10:11" x14ac:dyDescent="0.25">
      <c r="J1055" s="442"/>
      <c r="K1055" s="442"/>
    </row>
    <row r="1056" spans="10:11" x14ac:dyDescent="0.25">
      <c r="J1056" s="442"/>
      <c r="K1056" s="442"/>
    </row>
    <row r="1057" spans="10:11" x14ac:dyDescent="0.25">
      <c r="J1057" s="442"/>
      <c r="K1057" s="442"/>
    </row>
    <row r="1058" spans="10:11" x14ac:dyDescent="0.25">
      <c r="J1058" s="442"/>
      <c r="K1058" s="442"/>
    </row>
    <row r="1059" spans="10:11" x14ac:dyDescent="0.25">
      <c r="J1059" s="442"/>
      <c r="K1059" s="442"/>
    </row>
    <row r="1060" spans="10:11" x14ac:dyDescent="0.25">
      <c r="J1060" s="442"/>
      <c r="K1060" s="442"/>
    </row>
    <row r="1061" spans="10:11" x14ac:dyDescent="0.25">
      <c r="J1061" s="442"/>
      <c r="K1061" s="442"/>
    </row>
    <row r="1062" spans="10:11" x14ac:dyDescent="0.25">
      <c r="J1062" s="442"/>
      <c r="K1062" s="442"/>
    </row>
    <row r="1063" spans="10:11" x14ac:dyDescent="0.25">
      <c r="J1063" s="442"/>
      <c r="K1063" s="442"/>
    </row>
    <row r="1064" spans="10:11" x14ac:dyDescent="0.25">
      <c r="J1064" s="442"/>
      <c r="K1064" s="442"/>
    </row>
    <row r="1065" spans="10:11" x14ac:dyDescent="0.25">
      <c r="J1065" s="442"/>
      <c r="K1065" s="442"/>
    </row>
    <row r="1066" spans="10:11" x14ac:dyDescent="0.25">
      <c r="J1066" s="442"/>
      <c r="K1066" s="442"/>
    </row>
    <row r="1067" spans="10:11" x14ac:dyDescent="0.25">
      <c r="J1067" s="442"/>
      <c r="K1067" s="442"/>
    </row>
    <row r="1068" spans="10:11" x14ac:dyDescent="0.25">
      <c r="J1068" s="442"/>
      <c r="K1068" s="442"/>
    </row>
    <row r="1069" spans="10:11" x14ac:dyDescent="0.25">
      <c r="J1069" s="442"/>
      <c r="K1069" s="442"/>
    </row>
    <row r="1070" spans="10:11" x14ac:dyDescent="0.25">
      <c r="J1070" s="442"/>
      <c r="K1070" s="442"/>
    </row>
    <row r="1071" spans="10:11" x14ac:dyDescent="0.25">
      <c r="J1071" s="442"/>
      <c r="K1071" s="442"/>
    </row>
    <row r="1072" spans="10:11" x14ac:dyDescent="0.25">
      <c r="J1072" s="442"/>
      <c r="K1072" s="442"/>
    </row>
    <row r="1073" spans="10:11" x14ac:dyDescent="0.25">
      <c r="J1073" s="442"/>
      <c r="K1073" s="442"/>
    </row>
    <row r="1074" spans="10:11" x14ac:dyDescent="0.25">
      <c r="J1074" s="442"/>
      <c r="K1074" s="442"/>
    </row>
    <row r="1075" spans="10:11" x14ac:dyDescent="0.25">
      <c r="J1075" s="442"/>
      <c r="K1075" s="442"/>
    </row>
    <row r="1076" spans="10:11" x14ac:dyDescent="0.25">
      <c r="J1076" s="442"/>
      <c r="K1076" s="442"/>
    </row>
    <row r="1077" spans="10:11" x14ac:dyDescent="0.25">
      <c r="J1077" s="442"/>
      <c r="K1077" s="442"/>
    </row>
    <row r="1078" spans="10:11" x14ac:dyDescent="0.25">
      <c r="J1078" s="442"/>
      <c r="K1078" s="442"/>
    </row>
    <row r="1079" spans="10:11" x14ac:dyDescent="0.25">
      <c r="J1079" s="442"/>
      <c r="K1079" s="442"/>
    </row>
    <row r="1080" spans="10:11" x14ac:dyDescent="0.25">
      <c r="J1080" s="442"/>
      <c r="K1080" s="442"/>
    </row>
    <row r="1081" spans="10:11" x14ac:dyDescent="0.25">
      <c r="J1081" s="442"/>
      <c r="K1081" s="442"/>
    </row>
    <row r="1082" spans="10:11" x14ac:dyDescent="0.25">
      <c r="J1082" s="442"/>
      <c r="K1082" s="442"/>
    </row>
    <row r="1083" spans="10:11" x14ac:dyDescent="0.25">
      <c r="J1083" s="442"/>
      <c r="K1083" s="442"/>
    </row>
    <row r="1084" spans="10:11" x14ac:dyDescent="0.25">
      <c r="J1084" s="442"/>
      <c r="K1084" s="442"/>
    </row>
    <row r="1085" spans="10:11" x14ac:dyDescent="0.25">
      <c r="J1085" s="442"/>
      <c r="K1085" s="442"/>
    </row>
    <row r="1086" spans="10:11" x14ac:dyDescent="0.25">
      <c r="J1086" s="442"/>
      <c r="K1086" s="442"/>
    </row>
    <row r="1087" spans="10:11" x14ac:dyDescent="0.25">
      <c r="J1087" s="442"/>
      <c r="K1087" s="442"/>
    </row>
    <row r="1088" spans="10:11" x14ac:dyDescent="0.25">
      <c r="J1088" s="442"/>
      <c r="K1088" s="442"/>
    </row>
    <row r="1089" spans="10:11" x14ac:dyDescent="0.25">
      <c r="J1089" s="442"/>
      <c r="K1089" s="442"/>
    </row>
    <row r="1090" spans="10:11" x14ac:dyDescent="0.25">
      <c r="J1090" s="442"/>
      <c r="K1090" s="442"/>
    </row>
    <row r="1091" spans="10:11" x14ac:dyDescent="0.25">
      <c r="J1091" s="442"/>
      <c r="K1091" s="442"/>
    </row>
    <row r="1092" spans="10:11" x14ac:dyDescent="0.25">
      <c r="J1092" s="442"/>
      <c r="K1092" s="442"/>
    </row>
    <row r="1093" spans="10:11" x14ac:dyDescent="0.25">
      <c r="J1093" s="442"/>
      <c r="K1093" s="442"/>
    </row>
    <row r="1094" spans="10:11" x14ac:dyDescent="0.25">
      <c r="J1094" s="442"/>
      <c r="K1094" s="442"/>
    </row>
    <row r="1095" spans="10:11" x14ac:dyDescent="0.25">
      <c r="J1095" s="442"/>
      <c r="K1095" s="442"/>
    </row>
    <row r="1096" spans="10:11" x14ac:dyDescent="0.25">
      <c r="J1096" s="442"/>
      <c r="K1096" s="442"/>
    </row>
    <row r="1097" spans="10:11" x14ac:dyDescent="0.25">
      <c r="J1097" s="442"/>
      <c r="K1097" s="442"/>
    </row>
    <row r="1098" spans="10:11" x14ac:dyDescent="0.25">
      <c r="J1098" s="442"/>
      <c r="K1098" s="442"/>
    </row>
    <row r="1099" spans="10:11" x14ac:dyDescent="0.25">
      <c r="J1099" s="442"/>
      <c r="K1099" s="442"/>
    </row>
    <row r="1100" spans="10:11" x14ac:dyDescent="0.25">
      <c r="J1100" s="442"/>
      <c r="K1100" s="442"/>
    </row>
    <row r="1101" spans="10:11" x14ac:dyDescent="0.25">
      <c r="J1101" s="442"/>
      <c r="K1101" s="442"/>
    </row>
    <row r="1102" spans="10:11" x14ac:dyDescent="0.25">
      <c r="J1102" s="442"/>
      <c r="K1102" s="442"/>
    </row>
    <row r="1103" spans="10:11" x14ac:dyDescent="0.25">
      <c r="J1103" s="442"/>
      <c r="K1103" s="442"/>
    </row>
    <row r="1104" spans="10:11" x14ac:dyDescent="0.25">
      <c r="J1104" s="442"/>
      <c r="K1104" s="442"/>
    </row>
    <row r="1105" spans="10:11" x14ac:dyDescent="0.25">
      <c r="J1105" s="442"/>
      <c r="K1105" s="442"/>
    </row>
    <row r="1106" spans="10:11" x14ac:dyDescent="0.25">
      <c r="J1106" s="442"/>
      <c r="K1106" s="442"/>
    </row>
    <row r="1107" spans="10:11" x14ac:dyDescent="0.25">
      <c r="J1107" s="442"/>
      <c r="K1107" s="442"/>
    </row>
    <row r="1108" spans="10:11" x14ac:dyDescent="0.25">
      <c r="J1108" s="442"/>
      <c r="K1108" s="442"/>
    </row>
    <row r="1109" spans="10:11" x14ac:dyDescent="0.25">
      <c r="J1109" s="442"/>
      <c r="K1109" s="442"/>
    </row>
    <row r="1110" spans="10:11" x14ac:dyDescent="0.25">
      <c r="J1110" s="442"/>
      <c r="K1110" s="442"/>
    </row>
    <row r="1111" spans="10:11" x14ac:dyDescent="0.25">
      <c r="J1111" s="442"/>
      <c r="K1111" s="442"/>
    </row>
    <row r="1112" spans="10:11" x14ac:dyDescent="0.25">
      <c r="J1112" s="442"/>
      <c r="K1112" s="442"/>
    </row>
    <row r="1113" spans="10:11" x14ac:dyDescent="0.25">
      <c r="J1113" s="442"/>
      <c r="K1113" s="442"/>
    </row>
    <row r="1114" spans="10:11" x14ac:dyDescent="0.25">
      <c r="J1114" s="442"/>
      <c r="K1114" s="442"/>
    </row>
    <row r="1115" spans="10:11" x14ac:dyDescent="0.25">
      <c r="J1115" s="442"/>
      <c r="K1115" s="442"/>
    </row>
    <row r="1116" spans="10:11" x14ac:dyDescent="0.25">
      <c r="J1116" s="442"/>
      <c r="K1116" s="442"/>
    </row>
    <row r="1117" spans="10:11" x14ac:dyDescent="0.25">
      <c r="J1117" s="442"/>
      <c r="K1117" s="442"/>
    </row>
    <row r="1118" spans="10:11" x14ac:dyDescent="0.25">
      <c r="J1118" s="442"/>
      <c r="K1118" s="442"/>
    </row>
    <row r="1119" spans="10:11" x14ac:dyDescent="0.25">
      <c r="J1119" s="442"/>
      <c r="K1119" s="442"/>
    </row>
    <row r="1120" spans="10:11" x14ac:dyDescent="0.25">
      <c r="J1120" s="442"/>
      <c r="K1120" s="442"/>
    </row>
    <row r="1121" spans="10:11" x14ac:dyDescent="0.25">
      <c r="J1121" s="442"/>
      <c r="K1121" s="442"/>
    </row>
    <row r="1122" spans="10:11" x14ac:dyDescent="0.25">
      <c r="J1122" s="442"/>
      <c r="K1122" s="442"/>
    </row>
    <row r="1123" spans="10:11" x14ac:dyDescent="0.25">
      <c r="J1123" s="442"/>
      <c r="K1123" s="442"/>
    </row>
    <row r="1124" spans="10:11" x14ac:dyDescent="0.25">
      <c r="J1124" s="442"/>
      <c r="K1124" s="442"/>
    </row>
    <row r="1125" spans="10:11" x14ac:dyDescent="0.25">
      <c r="J1125" s="442"/>
      <c r="K1125" s="442"/>
    </row>
    <row r="1126" spans="10:11" x14ac:dyDescent="0.25">
      <c r="J1126" s="442"/>
      <c r="K1126" s="442"/>
    </row>
    <row r="1127" spans="10:11" x14ac:dyDescent="0.25">
      <c r="J1127" s="442"/>
      <c r="K1127" s="442"/>
    </row>
    <row r="1128" spans="10:11" x14ac:dyDescent="0.25">
      <c r="J1128" s="442"/>
      <c r="K1128" s="442"/>
    </row>
    <row r="1129" spans="10:11" x14ac:dyDescent="0.25">
      <c r="J1129" s="442"/>
      <c r="K1129" s="442"/>
    </row>
    <row r="1130" spans="10:11" x14ac:dyDescent="0.25">
      <c r="J1130" s="442"/>
      <c r="K1130" s="442"/>
    </row>
    <row r="1131" spans="10:11" x14ac:dyDescent="0.25">
      <c r="J1131" s="442"/>
      <c r="K1131" s="442"/>
    </row>
    <row r="1132" spans="10:11" x14ac:dyDescent="0.25">
      <c r="J1132" s="442"/>
      <c r="K1132" s="442"/>
    </row>
    <row r="1133" spans="10:11" x14ac:dyDescent="0.25">
      <c r="J1133" s="442"/>
      <c r="K1133" s="442"/>
    </row>
    <row r="1134" spans="10:11" x14ac:dyDescent="0.25">
      <c r="J1134" s="442"/>
      <c r="K1134" s="442"/>
    </row>
    <row r="1135" spans="10:11" x14ac:dyDescent="0.25">
      <c r="J1135" s="442"/>
      <c r="K1135" s="442"/>
    </row>
    <row r="1136" spans="10:11" x14ac:dyDescent="0.25">
      <c r="J1136" s="442"/>
      <c r="K1136" s="442"/>
    </row>
    <row r="1137" spans="10:11" x14ac:dyDescent="0.25">
      <c r="J1137" s="442"/>
      <c r="K1137" s="442"/>
    </row>
    <row r="1138" spans="10:11" x14ac:dyDescent="0.25">
      <c r="J1138" s="442"/>
      <c r="K1138" s="442"/>
    </row>
    <row r="1139" spans="10:11" x14ac:dyDescent="0.25">
      <c r="J1139" s="442"/>
      <c r="K1139" s="442"/>
    </row>
    <row r="1140" spans="10:11" x14ac:dyDescent="0.25">
      <c r="J1140" s="442"/>
      <c r="K1140" s="442"/>
    </row>
    <row r="1141" spans="10:11" x14ac:dyDescent="0.25">
      <c r="J1141" s="442"/>
      <c r="K1141" s="442"/>
    </row>
    <row r="1142" spans="10:11" x14ac:dyDescent="0.25">
      <c r="J1142" s="442"/>
      <c r="K1142" s="442"/>
    </row>
    <row r="1143" spans="10:11" x14ac:dyDescent="0.25">
      <c r="J1143" s="442"/>
      <c r="K1143" s="442"/>
    </row>
    <row r="1144" spans="10:11" x14ac:dyDescent="0.25">
      <c r="J1144" s="442"/>
      <c r="K1144" s="442"/>
    </row>
    <row r="1145" spans="10:11" x14ac:dyDescent="0.25">
      <c r="J1145" s="442"/>
      <c r="K1145" s="442"/>
    </row>
    <row r="1146" spans="10:11" x14ac:dyDescent="0.25">
      <c r="J1146" s="442"/>
      <c r="K1146" s="442"/>
    </row>
    <row r="1147" spans="10:11" x14ac:dyDescent="0.25">
      <c r="J1147" s="442"/>
      <c r="K1147" s="442"/>
    </row>
    <row r="1148" spans="10:11" x14ac:dyDescent="0.25">
      <c r="J1148" s="442"/>
      <c r="K1148" s="442"/>
    </row>
    <row r="1149" spans="10:11" x14ac:dyDescent="0.25">
      <c r="J1149" s="442"/>
      <c r="K1149" s="442"/>
    </row>
    <row r="1150" spans="10:11" x14ac:dyDescent="0.25">
      <c r="J1150" s="442"/>
      <c r="K1150" s="442"/>
    </row>
    <row r="1151" spans="10:11" x14ac:dyDescent="0.25">
      <c r="J1151" s="442"/>
      <c r="K1151" s="442"/>
    </row>
    <row r="1152" spans="10:11" x14ac:dyDescent="0.25">
      <c r="J1152" s="442"/>
      <c r="K1152" s="442"/>
    </row>
    <row r="1153" spans="10:11" x14ac:dyDescent="0.25">
      <c r="J1153" s="442"/>
      <c r="K1153" s="442"/>
    </row>
    <row r="1154" spans="10:11" x14ac:dyDescent="0.25">
      <c r="J1154" s="442"/>
      <c r="K1154" s="442"/>
    </row>
    <row r="1155" spans="10:11" x14ac:dyDescent="0.25">
      <c r="J1155" s="442"/>
      <c r="K1155" s="442"/>
    </row>
    <row r="1156" spans="10:11" x14ac:dyDescent="0.25">
      <c r="J1156" s="442"/>
      <c r="K1156" s="442"/>
    </row>
    <row r="1157" spans="10:11" x14ac:dyDescent="0.25">
      <c r="J1157" s="442"/>
      <c r="K1157" s="442"/>
    </row>
    <row r="1158" spans="10:11" x14ac:dyDescent="0.25">
      <c r="J1158" s="442"/>
      <c r="K1158" s="442"/>
    </row>
    <row r="1159" spans="10:11" x14ac:dyDescent="0.25">
      <c r="J1159" s="442"/>
      <c r="K1159" s="442"/>
    </row>
    <row r="1160" spans="10:11" x14ac:dyDescent="0.25">
      <c r="J1160" s="442"/>
      <c r="K1160" s="442"/>
    </row>
    <row r="1161" spans="10:11" x14ac:dyDescent="0.25">
      <c r="J1161" s="442"/>
      <c r="K1161" s="442"/>
    </row>
    <row r="1162" spans="10:11" x14ac:dyDescent="0.25">
      <c r="J1162" s="442"/>
      <c r="K1162" s="442"/>
    </row>
    <row r="1163" spans="10:11" x14ac:dyDescent="0.25">
      <c r="J1163" s="442"/>
      <c r="K1163" s="442"/>
    </row>
    <row r="1164" spans="10:11" x14ac:dyDescent="0.25">
      <c r="J1164" s="442"/>
      <c r="K1164" s="442"/>
    </row>
    <row r="1165" spans="10:11" x14ac:dyDescent="0.25">
      <c r="J1165" s="442"/>
      <c r="K1165" s="442"/>
    </row>
    <row r="1166" spans="10:11" x14ac:dyDescent="0.25">
      <c r="J1166" s="442"/>
      <c r="K1166" s="442"/>
    </row>
    <row r="1167" spans="10:11" x14ac:dyDescent="0.25">
      <c r="J1167" s="442"/>
      <c r="K1167" s="442"/>
    </row>
    <row r="1168" spans="10:11" x14ac:dyDescent="0.25">
      <c r="J1168" s="442"/>
      <c r="K1168" s="442"/>
    </row>
    <row r="1169" spans="10:11" x14ac:dyDescent="0.25">
      <c r="J1169" s="442"/>
      <c r="K1169" s="442"/>
    </row>
    <row r="1170" spans="10:11" x14ac:dyDescent="0.25">
      <c r="J1170" s="442"/>
      <c r="K1170" s="442"/>
    </row>
    <row r="1171" spans="10:11" x14ac:dyDescent="0.25">
      <c r="J1171" s="442"/>
      <c r="K1171" s="442"/>
    </row>
    <row r="1172" spans="10:11" x14ac:dyDescent="0.25">
      <c r="J1172" s="442"/>
      <c r="K1172" s="442"/>
    </row>
    <row r="1173" spans="10:11" x14ac:dyDescent="0.25">
      <c r="J1173" s="442"/>
      <c r="K1173" s="442"/>
    </row>
    <row r="1174" spans="10:11" x14ac:dyDescent="0.25">
      <c r="J1174" s="442"/>
      <c r="K1174" s="442"/>
    </row>
    <row r="1175" spans="10:11" x14ac:dyDescent="0.25">
      <c r="J1175" s="442"/>
      <c r="K1175" s="442"/>
    </row>
    <row r="1176" spans="10:11" x14ac:dyDescent="0.25">
      <c r="J1176" s="442"/>
      <c r="K1176" s="442"/>
    </row>
    <row r="1177" spans="10:11" x14ac:dyDescent="0.25">
      <c r="J1177" s="442"/>
      <c r="K1177" s="442"/>
    </row>
    <row r="1178" spans="10:11" x14ac:dyDescent="0.25">
      <c r="J1178" s="442"/>
      <c r="K1178" s="442"/>
    </row>
    <row r="1179" spans="10:11" x14ac:dyDescent="0.25">
      <c r="J1179" s="442"/>
      <c r="K1179" s="442"/>
    </row>
    <row r="1180" spans="10:11" x14ac:dyDescent="0.25">
      <c r="J1180" s="442"/>
      <c r="K1180" s="442"/>
    </row>
    <row r="1181" spans="10:11" x14ac:dyDescent="0.25">
      <c r="J1181" s="442"/>
      <c r="K1181" s="442"/>
    </row>
    <row r="1182" spans="10:11" x14ac:dyDescent="0.25">
      <c r="J1182" s="442"/>
      <c r="K1182" s="442"/>
    </row>
    <row r="1183" spans="10:11" x14ac:dyDescent="0.25">
      <c r="J1183" s="442"/>
      <c r="K1183" s="442"/>
    </row>
    <row r="1184" spans="10:11" x14ac:dyDescent="0.25">
      <c r="J1184" s="442"/>
      <c r="K1184" s="442"/>
    </row>
    <row r="1185" spans="10:11" x14ac:dyDescent="0.25">
      <c r="J1185" s="442"/>
      <c r="K1185" s="442"/>
    </row>
    <row r="1186" spans="10:11" x14ac:dyDescent="0.25">
      <c r="J1186" s="442"/>
      <c r="K1186" s="442"/>
    </row>
    <row r="1187" spans="10:11" x14ac:dyDescent="0.25">
      <c r="J1187" s="442"/>
      <c r="K1187" s="442"/>
    </row>
    <row r="1188" spans="10:11" x14ac:dyDescent="0.25">
      <c r="J1188" s="442"/>
      <c r="K1188" s="442"/>
    </row>
    <row r="1189" spans="10:11" x14ac:dyDescent="0.25">
      <c r="J1189" s="442"/>
      <c r="K1189" s="442"/>
    </row>
    <row r="1190" spans="10:11" x14ac:dyDescent="0.25">
      <c r="J1190" s="442"/>
      <c r="K1190" s="442"/>
    </row>
    <row r="1191" spans="10:11" x14ac:dyDescent="0.25">
      <c r="J1191" s="442"/>
      <c r="K1191" s="442"/>
    </row>
    <row r="1192" spans="10:11" x14ac:dyDescent="0.25">
      <c r="J1192" s="442"/>
      <c r="K1192" s="442"/>
    </row>
    <row r="1193" spans="10:11" x14ac:dyDescent="0.25">
      <c r="J1193" s="442"/>
      <c r="K1193" s="442"/>
    </row>
    <row r="1194" spans="10:11" x14ac:dyDescent="0.25">
      <c r="J1194" s="442"/>
      <c r="K1194" s="442"/>
    </row>
    <row r="1195" spans="10:11" x14ac:dyDescent="0.25">
      <c r="J1195" s="442"/>
      <c r="K1195" s="442"/>
    </row>
    <row r="1196" spans="10:11" x14ac:dyDescent="0.25">
      <c r="J1196" s="442"/>
      <c r="K1196" s="442"/>
    </row>
    <row r="1197" spans="10:11" x14ac:dyDescent="0.25">
      <c r="J1197" s="442"/>
      <c r="K1197" s="442"/>
    </row>
    <row r="1198" spans="10:11" x14ac:dyDescent="0.25">
      <c r="J1198" s="442"/>
      <c r="K1198" s="442"/>
    </row>
    <row r="1199" spans="10:11" x14ac:dyDescent="0.25">
      <c r="J1199" s="442"/>
      <c r="K1199" s="442"/>
    </row>
    <row r="1200" spans="10:11" x14ac:dyDescent="0.25">
      <c r="J1200" s="442"/>
      <c r="K1200" s="442"/>
    </row>
    <row r="1201" spans="10:11" x14ac:dyDescent="0.25">
      <c r="J1201" s="442"/>
      <c r="K1201" s="442"/>
    </row>
    <row r="1202" spans="10:11" x14ac:dyDescent="0.25">
      <c r="J1202" s="442"/>
      <c r="K1202" s="442"/>
    </row>
    <row r="1203" spans="10:11" x14ac:dyDescent="0.25">
      <c r="J1203" s="442"/>
      <c r="K1203" s="442"/>
    </row>
    <row r="1204" spans="10:11" x14ac:dyDescent="0.25">
      <c r="J1204" s="442"/>
      <c r="K1204" s="442"/>
    </row>
    <row r="1205" spans="10:11" x14ac:dyDescent="0.25">
      <c r="J1205" s="442"/>
      <c r="K1205" s="442"/>
    </row>
    <row r="1206" spans="10:11" x14ac:dyDescent="0.25">
      <c r="J1206" s="442"/>
      <c r="K1206" s="442"/>
    </row>
    <row r="1207" spans="10:11" x14ac:dyDescent="0.25">
      <c r="J1207" s="442"/>
      <c r="K1207" s="442"/>
    </row>
    <row r="1208" spans="10:11" x14ac:dyDescent="0.25">
      <c r="J1208" s="442"/>
      <c r="K1208" s="442"/>
    </row>
    <row r="1209" spans="10:11" x14ac:dyDescent="0.25">
      <c r="J1209" s="442"/>
      <c r="K1209" s="442"/>
    </row>
    <row r="1210" spans="10:11" x14ac:dyDescent="0.25">
      <c r="J1210" s="442"/>
      <c r="K1210" s="442"/>
    </row>
    <row r="1211" spans="10:11" x14ac:dyDescent="0.25">
      <c r="J1211" s="442"/>
      <c r="K1211" s="442"/>
    </row>
    <row r="1212" spans="10:11" x14ac:dyDescent="0.25">
      <c r="J1212" s="442"/>
      <c r="K1212" s="442"/>
    </row>
    <row r="1213" spans="10:11" x14ac:dyDescent="0.25">
      <c r="J1213" s="442"/>
      <c r="K1213" s="442"/>
    </row>
    <row r="1214" spans="10:11" x14ac:dyDescent="0.25">
      <c r="J1214" s="442"/>
      <c r="K1214" s="442"/>
    </row>
    <row r="1215" spans="10:11" x14ac:dyDescent="0.25">
      <c r="J1215" s="442"/>
      <c r="K1215" s="442"/>
    </row>
    <row r="1216" spans="10:11" x14ac:dyDescent="0.25">
      <c r="J1216" s="442"/>
      <c r="K1216" s="442"/>
    </row>
    <row r="1217" spans="10:11" x14ac:dyDescent="0.25">
      <c r="J1217" s="442"/>
      <c r="K1217" s="442"/>
    </row>
    <row r="1218" spans="10:11" x14ac:dyDescent="0.25">
      <c r="J1218" s="442"/>
      <c r="K1218" s="442"/>
    </row>
    <row r="1219" spans="10:11" x14ac:dyDescent="0.25">
      <c r="J1219" s="442"/>
      <c r="K1219" s="442"/>
    </row>
    <row r="1220" spans="10:11" x14ac:dyDescent="0.25">
      <c r="J1220" s="442"/>
      <c r="K1220" s="442"/>
    </row>
    <row r="1221" spans="10:11" x14ac:dyDescent="0.25">
      <c r="J1221" s="442"/>
      <c r="K1221" s="442"/>
    </row>
    <row r="1222" spans="10:11" x14ac:dyDescent="0.25">
      <c r="J1222" s="442"/>
      <c r="K1222" s="442"/>
    </row>
    <row r="1223" spans="10:11" x14ac:dyDescent="0.25">
      <c r="J1223" s="442"/>
      <c r="K1223" s="442"/>
    </row>
    <row r="1224" spans="10:11" x14ac:dyDescent="0.25">
      <c r="J1224" s="442"/>
      <c r="K1224" s="442"/>
    </row>
    <row r="1225" spans="10:11" x14ac:dyDescent="0.25">
      <c r="J1225" s="442"/>
      <c r="K1225" s="442"/>
    </row>
    <row r="1226" spans="10:11" x14ac:dyDescent="0.25">
      <c r="J1226" s="442"/>
      <c r="K1226" s="442"/>
    </row>
    <row r="1227" spans="10:11" x14ac:dyDescent="0.25">
      <c r="J1227" s="442"/>
      <c r="K1227" s="442"/>
    </row>
    <row r="1228" spans="10:11" x14ac:dyDescent="0.25">
      <c r="J1228" s="442"/>
      <c r="K1228" s="442"/>
    </row>
    <row r="1229" spans="10:11" x14ac:dyDescent="0.25">
      <c r="J1229" s="442"/>
      <c r="K1229" s="442"/>
    </row>
    <row r="1230" spans="10:11" x14ac:dyDescent="0.25">
      <c r="J1230" s="442"/>
      <c r="K1230" s="442"/>
    </row>
    <row r="1231" spans="10:11" x14ac:dyDescent="0.25">
      <c r="J1231" s="442"/>
      <c r="K1231" s="442"/>
    </row>
    <row r="1232" spans="10:11" x14ac:dyDescent="0.25">
      <c r="J1232" s="442"/>
      <c r="K1232" s="442"/>
    </row>
    <row r="1233" spans="10:11" x14ac:dyDescent="0.25">
      <c r="J1233" s="442"/>
      <c r="K1233" s="442"/>
    </row>
    <row r="1234" spans="10:11" x14ac:dyDescent="0.25">
      <c r="J1234" s="442"/>
      <c r="K1234" s="442"/>
    </row>
    <row r="1235" spans="10:11" x14ac:dyDescent="0.25">
      <c r="J1235" s="442"/>
      <c r="K1235" s="442"/>
    </row>
    <row r="1236" spans="10:11" x14ac:dyDescent="0.25">
      <c r="J1236" s="442"/>
      <c r="K1236" s="442"/>
    </row>
    <row r="1237" spans="10:11" x14ac:dyDescent="0.25">
      <c r="J1237" s="442"/>
      <c r="K1237" s="442"/>
    </row>
    <row r="1238" spans="10:11" x14ac:dyDescent="0.25">
      <c r="J1238" s="442"/>
      <c r="K1238" s="442"/>
    </row>
    <row r="1239" spans="10:11" x14ac:dyDescent="0.25">
      <c r="J1239" s="442"/>
      <c r="K1239" s="442"/>
    </row>
    <row r="1240" spans="10:11" x14ac:dyDescent="0.25">
      <c r="J1240" s="442"/>
      <c r="K1240" s="442"/>
    </row>
    <row r="1241" spans="10:11" x14ac:dyDescent="0.25">
      <c r="J1241" s="442"/>
      <c r="K1241" s="442"/>
    </row>
    <row r="1242" spans="10:11" x14ac:dyDescent="0.25">
      <c r="J1242" s="442"/>
      <c r="K1242" s="442"/>
    </row>
    <row r="1243" spans="10:11" x14ac:dyDescent="0.25">
      <c r="J1243" s="442"/>
      <c r="K1243" s="442"/>
    </row>
    <row r="1244" spans="10:11" x14ac:dyDescent="0.25">
      <c r="J1244" s="442"/>
      <c r="K1244" s="442"/>
    </row>
    <row r="1245" spans="10:11" x14ac:dyDescent="0.25">
      <c r="J1245" s="442"/>
      <c r="K1245" s="442"/>
    </row>
    <row r="1246" spans="10:11" x14ac:dyDescent="0.25">
      <c r="J1246" s="442"/>
      <c r="K1246" s="442"/>
    </row>
    <row r="1247" spans="10:11" x14ac:dyDescent="0.25">
      <c r="J1247" s="442"/>
      <c r="K1247" s="442"/>
    </row>
    <row r="1248" spans="10:11" x14ac:dyDescent="0.25">
      <c r="J1248" s="442"/>
      <c r="K1248" s="442"/>
    </row>
    <row r="1249" spans="10:11" x14ac:dyDescent="0.25">
      <c r="J1249" s="442"/>
      <c r="K1249" s="442"/>
    </row>
    <row r="1250" spans="10:11" x14ac:dyDescent="0.25">
      <c r="J1250" s="442"/>
      <c r="K1250" s="442"/>
    </row>
    <row r="1251" spans="10:11" x14ac:dyDescent="0.25">
      <c r="J1251" s="442"/>
      <c r="K1251" s="442"/>
    </row>
    <row r="1252" spans="10:11" x14ac:dyDescent="0.25">
      <c r="J1252" s="442"/>
      <c r="K1252" s="442"/>
    </row>
    <row r="1253" spans="10:11" x14ac:dyDescent="0.25">
      <c r="J1253" s="442"/>
      <c r="K1253" s="442"/>
    </row>
    <row r="1254" spans="10:11" x14ac:dyDescent="0.25">
      <c r="J1254" s="442"/>
      <c r="K1254" s="442"/>
    </row>
    <row r="1255" spans="10:11" x14ac:dyDescent="0.25">
      <c r="J1255" s="442"/>
      <c r="K1255" s="442"/>
    </row>
    <row r="1256" spans="10:11" x14ac:dyDescent="0.25">
      <c r="J1256" s="442"/>
      <c r="K1256" s="442"/>
    </row>
    <row r="1257" spans="10:11" x14ac:dyDescent="0.25">
      <c r="J1257" s="442"/>
      <c r="K1257" s="442"/>
    </row>
    <row r="1258" spans="10:11" x14ac:dyDescent="0.25">
      <c r="J1258" s="442"/>
      <c r="K1258" s="442"/>
    </row>
    <row r="1259" spans="10:11" x14ac:dyDescent="0.25">
      <c r="J1259" s="442"/>
      <c r="K1259" s="442"/>
    </row>
    <row r="1260" spans="10:11" x14ac:dyDescent="0.25">
      <c r="J1260" s="442"/>
      <c r="K1260" s="442"/>
    </row>
    <row r="1261" spans="10:11" x14ac:dyDescent="0.25">
      <c r="J1261" s="442"/>
      <c r="K1261" s="442"/>
    </row>
    <row r="1262" spans="10:11" x14ac:dyDescent="0.25">
      <c r="J1262" s="442"/>
      <c r="K1262" s="442"/>
    </row>
    <row r="1263" spans="10:11" x14ac:dyDescent="0.25">
      <c r="J1263" s="442"/>
      <c r="K1263" s="442"/>
    </row>
    <row r="1264" spans="10:11" x14ac:dyDescent="0.25">
      <c r="J1264" s="442"/>
      <c r="K1264" s="442"/>
    </row>
    <row r="1265" spans="10:11" x14ac:dyDescent="0.25">
      <c r="J1265" s="442"/>
      <c r="K1265" s="442"/>
    </row>
    <row r="1266" spans="10:11" x14ac:dyDescent="0.25">
      <c r="J1266" s="442"/>
      <c r="K1266" s="442"/>
    </row>
    <row r="1267" spans="10:11" x14ac:dyDescent="0.25">
      <c r="J1267" s="442"/>
      <c r="K1267" s="442"/>
    </row>
    <row r="1268" spans="10:11" x14ac:dyDescent="0.25">
      <c r="J1268" s="442"/>
      <c r="K1268" s="442"/>
    </row>
    <row r="1269" spans="10:11" x14ac:dyDescent="0.25">
      <c r="J1269" s="442"/>
      <c r="K1269" s="442"/>
    </row>
    <row r="1270" spans="10:11" x14ac:dyDescent="0.25">
      <c r="J1270" s="442"/>
      <c r="K1270" s="442"/>
    </row>
    <row r="1271" spans="10:11" x14ac:dyDescent="0.25">
      <c r="J1271" s="442"/>
      <c r="K1271" s="442"/>
    </row>
    <row r="1272" spans="10:11" x14ac:dyDescent="0.25">
      <c r="J1272" s="442"/>
      <c r="K1272" s="442"/>
    </row>
    <row r="1273" spans="10:11" x14ac:dyDescent="0.25">
      <c r="J1273" s="442"/>
      <c r="K1273" s="442"/>
    </row>
    <row r="1274" spans="10:11" x14ac:dyDescent="0.25">
      <c r="J1274" s="442"/>
      <c r="K1274" s="442"/>
    </row>
    <row r="1275" spans="10:11" x14ac:dyDescent="0.25">
      <c r="J1275" s="442"/>
      <c r="K1275" s="442"/>
    </row>
    <row r="1276" spans="10:11" x14ac:dyDescent="0.25">
      <c r="J1276" s="442"/>
      <c r="K1276" s="442"/>
    </row>
    <row r="1277" spans="10:11" x14ac:dyDescent="0.25">
      <c r="J1277" s="442"/>
      <c r="K1277" s="442"/>
    </row>
    <row r="1278" spans="10:11" x14ac:dyDescent="0.25">
      <c r="J1278" s="442"/>
      <c r="K1278" s="442"/>
    </row>
    <row r="1279" spans="10:11" x14ac:dyDescent="0.25">
      <c r="J1279" s="442"/>
      <c r="K1279" s="442"/>
    </row>
    <row r="1280" spans="10:11" x14ac:dyDescent="0.25">
      <c r="J1280" s="442"/>
      <c r="K1280" s="442"/>
    </row>
    <row r="1281" spans="10:11" x14ac:dyDescent="0.25">
      <c r="J1281" s="442"/>
      <c r="K1281" s="442"/>
    </row>
    <row r="1282" spans="10:11" x14ac:dyDescent="0.25">
      <c r="J1282" s="442"/>
      <c r="K1282" s="442"/>
    </row>
    <row r="1283" spans="10:11" x14ac:dyDescent="0.25">
      <c r="J1283" s="442"/>
      <c r="K1283" s="442"/>
    </row>
    <row r="1284" spans="10:11" x14ac:dyDescent="0.25">
      <c r="J1284" s="442"/>
      <c r="K1284" s="442"/>
    </row>
    <row r="1285" spans="10:11" x14ac:dyDescent="0.25">
      <c r="J1285" s="442"/>
      <c r="K1285" s="442"/>
    </row>
    <row r="1286" spans="10:11" x14ac:dyDescent="0.25">
      <c r="J1286" s="442"/>
      <c r="K1286" s="442"/>
    </row>
    <row r="1287" spans="10:11" x14ac:dyDescent="0.25">
      <c r="J1287" s="442"/>
      <c r="K1287" s="442"/>
    </row>
    <row r="1288" spans="10:11" x14ac:dyDescent="0.25">
      <c r="J1288" s="442"/>
      <c r="K1288" s="442"/>
    </row>
    <row r="1289" spans="10:11" x14ac:dyDescent="0.25">
      <c r="J1289" s="442"/>
      <c r="K1289" s="442"/>
    </row>
    <row r="1290" spans="10:11" x14ac:dyDescent="0.25">
      <c r="J1290" s="442"/>
      <c r="K1290" s="442"/>
    </row>
    <row r="1291" spans="10:11" x14ac:dyDescent="0.25">
      <c r="J1291" s="442"/>
      <c r="K1291" s="442"/>
    </row>
    <row r="1292" spans="10:11" x14ac:dyDescent="0.25">
      <c r="J1292" s="442"/>
      <c r="K1292" s="442"/>
    </row>
    <row r="1293" spans="10:11" x14ac:dyDescent="0.25">
      <c r="J1293" s="442"/>
      <c r="K1293" s="442"/>
    </row>
    <row r="1294" spans="10:11" x14ac:dyDescent="0.25">
      <c r="J1294" s="442"/>
      <c r="K1294" s="442"/>
    </row>
    <row r="1295" spans="10:11" x14ac:dyDescent="0.25">
      <c r="J1295" s="442"/>
      <c r="K1295" s="442"/>
    </row>
    <row r="1296" spans="10:11" x14ac:dyDescent="0.25">
      <c r="J1296" s="442"/>
      <c r="K1296" s="442"/>
    </row>
    <row r="1297" spans="10:11" x14ac:dyDescent="0.25">
      <c r="J1297" s="442"/>
      <c r="K1297" s="442"/>
    </row>
    <row r="1298" spans="10:11" x14ac:dyDescent="0.25">
      <c r="J1298" s="442"/>
      <c r="K1298" s="442"/>
    </row>
    <row r="1299" spans="10:11" x14ac:dyDescent="0.25">
      <c r="J1299" s="442"/>
      <c r="K1299" s="442"/>
    </row>
    <row r="1300" spans="10:11" x14ac:dyDescent="0.25">
      <c r="J1300" s="442"/>
      <c r="K1300" s="442"/>
    </row>
    <row r="1301" spans="10:11" x14ac:dyDescent="0.25">
      <c r="J1301" s="442"/>
      <c r="K1301" s="442"/>
    </row>
    <row r="1302" spans="10:11" x14ac:dyDescent="0.25">
      <c r="J1302" s="442"/>
      <c r="K1302" s="442"/>
    </row>
    <row r="1303" spans="10:11" x14ac:dyDescent="0.25">
      <c r="J1303" s="442"/>
      <c r="K1303" s="442"/>
    </row>
    <row r="1304" spans="10:11" x14ac:dyDescent="0.25">
      <c r="J1304" s="442"/>
      <c r="K1304" s="442"/>
    </row>
    <row r="1305" spans="10:11" x14ac:dyDescent="0.25">
      <c r="J1305" s="442"/>
      <c r="K1305" s="442"/>
    </row>
    <row r="1306" spans="10:11" x14ac:dyDescent="0.25">
      <c r="J1306" s="442"/>
      <c r="K1306" s="442"/>
    </row>
    <row r="1307" spans="10:11" x14ac:dyDescent="0.25">
      <c r="J1307" s="442"/>
      <c r="K1307" s="442"/>
    </row>
    <row r="1308" spans="10:11" x14ac:dyDescent="0.25">
      <c r="J1308" s="442"/>
      <c r="K1308" s="442"/>
    </row>
    <row r="1309" spans="10:11" x14ac:dyDescent="0.25">
      <c r="J1309" s="442"/>
      <c r="K1309" s="442"/>
    </row>
    <row r="1310" spans="10:11" x14ac:dyDescent="0.25">
      <c r="J1310" s="442"/>
      <c r="K1310" s="442"/>
    </row>
    <row r="1311" spans="10:11" x14ac:dyDescent="0.25">
      <c r="J1311" s="442"/>
      <c r="K1311" s="442"/>
    </row>
    <row r="1312" spans="10:11" x14ac:dyDescent="0.25">
      <c r="J1312" s="442"/>
      <c r="K1312" s="442"/>
    </row>
    <row r="1313" spans="10:11" x14ac:dyDescent="0.25">
      <c r="J1313" s="442"/>
      <c r="K1313" s="442"/>
    </row>
    <row r="1314" spans="10:11" x14ac:dyDescent="0.25">
      <c r="J1314" s="442"/>
      <c r="K1314" s="442"/>
    </row>
    <row r="1315" spans="10:11" x14ac:dyDescent="0.25">
      <c r="J1315" s="442"/>
      <c r="K1315" s="442"/>
    </row>
    <row r="1316" spans="10:11" x14ac:dyDescent="0.25">
      <c r="J1316" s="442"/>
      <c r="K1316" s="442"/>
    </row>
    <row r="1317" spans="10:11" x14ac:dyDescent="0.25">
      <c r="J1317" s="442"/>
      <c r="K1317" s="442"/>
    </row>
    <row r="1318" spans="10:11" x14ac:dyDescent="0.25">
      <c r="J1318" s="442"/>
      <c r="K1318" s="442"/>
    </row>
    <row r="1319" spans="10:11" x14ac:dyDescent="0.25">
      <c r="J1319" s="442"/>
      <c r="K1319" s="442"/>
    </row>
    <row r="1320" spans="10:11" x14ac:dyDescent="0.25">
      <c r="J1320" s="442"/>
      <c r="K1320" s="442"/>
    </row>
  </sheetData>
  <sheetProtection algorithmName="SHA-512" hashValue="SuAhJrF9Ubf9S5Ub3qK0Gv/4L9raB6GF4c2x6piCcueSSZ5vZXLFli5Xhdbi0M8PdmPk/x4JyIoAMWFrDHSGMw==" saltValue="Rm7CSVX5IUJSWT4aMRhvVg==" spinCount="100000" sheet="1" objects="1" scenarios="1"/>
  <protectedRanges>
    <protectedRange sqref="H21:I21" name="Rango1"/>
    <protectedRange sqref="A22" name="Rango2"/>
    <protectedRange sqref="B14:B17" name="Rango3"/>
  </protectedRanges>
  <mergeCells count="52">
    <mergeCell ref="A176:E176"/>
    <mergeCell ref="F176:G176"/>
    <mergeCell ref="H176:J176"/>
    <mergeCell ref="K176:M176"/>
    <mergeCell ref="G161:J161"/>
    <mergeCell ref="A163:E164"/>
    <mergeCell ref="A165:H165"/>
    <mergeCell ref="A168:M170"/>
    <mergeCell ref="A171:J171"/>
    <mergeCell ref="K171:M171"/>
    <mergeCell ref="A172:M172"/>
    <mergeCell ref="A173:E174"/>
    <mergeCell ref="F173:J174"/>
    <mergeCell ref="K173:M174"/>
    <mergeCell ref="A175:M175"/>
    <mergeCell ref="A160:F160"/>
    <mergeCell ref="A142:B142"/>
    <mergeCell ref="A144:B144"/>
    <mergeCell ref="A146:G146"/>
    <mergeCell ref="D148:I148"/>
    <mergeCell ref="D152:I152"/>
    <mergeCell ref="A155:F155"/>
    <mergeCell ref="G155:J155"/>
    <mergeCell ref="A156:F156"/>
    <mergeCell ref="G156:H156"/>
    <mergeCell ref="A157:F157"/>
    <mergeCell ref="A158:F158"/>
    <mergeCell ref="A159:F159"/>
    <mergeCell ref="A141:B141"/>
    <mergeCell ref="A22:D22"/>
    <mergeCell ref="E22:I22"/>
    <mergeCell ref="A123:B123"/>
    <mergeCell ref="A124:B124"/>
    <mergeCell ref="A125:B125"/>
    <mergeCell ref="A127:L127"/>
    <mergeCell ref="A129:L129"/>
    <mergeCell ref="A132:F132"/>
    <mergeCell ref="G132:L132"/>
    <mergeCell ref="A139:K139"/>
    <mergeCell ref="A140:B140"/>
    <mergeCell ref="A21:G21"/>
    <mergeCell ref="A1:A2"/>
    <mergeCell ref="B1:K2"/>
    <mergeCell ref="B4:E4"/>
    <mergeCell ref="B5:C5"/>
    <mergeCell ref="B6:C6"/>
    <mergeCell ref="C7:D7"/>
    <mergeCell ref="A8:H8"/>
    <mergeCell ref="A10:H10"/>
    <mergeCell ref="A17:F17"/>
    <mergeCell ref="A19:L19"/>
    <mergeCell ref="A20:L20"/>
  </mergeCells>
  <conditionalFormatting sqref="H164">
    <cfRule type="expression" dxfId="231" priority="7">
      <formula>$H$164="EFICAZ"</formula>
    </cfRule>
    <cfRule type="expression" dxfId="230" priority="8">
      <formula>$H$164="INEFICAZ"</formula>
    </cfRule>
  </conditionalFormatting>
  <conditionalFormatting sqref="J80:K80">
    <cfRule type="expression" dxfId="229" priority="9">
      <formula>$J$80="NO"</formula>
    </cfRule>
    <cfRule type="expression" dxfId="228" priority="10">
      <formula>$J$80="SI"</formula>
    </cfRule>
  </conditionalFormatting>
  <conditionalFormatting sqref="A1:B1">
    <cfRule type="cellIs" dxfId="227" priority="1" operator="equal">
      <formula>"ERROR"</formula>
    </cfRule>
  </conditionalFormatting>
  <conditionalFormatting sqref="L1:L2">
    <cfRule type="cellIs" dxfId="226" priority="2" operator="equal">
      <formula>"INEXISTENTE"</formula>
    </cfRule>
    <cfRule type="cellIs" dxfId="225" priority="3" operator="equal">
      <formula>"INADECUADO"</formula>
    </cfRule>
    <cfRule type="cellIs" dxfId="224" priority="4" operator="equal">
      <formula>"PARCIALMENTE ADECUADO"</formula>
    </cfRule>
    <cfRule type="cellIs" dxfId="223" priority="5" operator="equal">
      <formula>"ADECUADO"</formula>
    </cfRule>
    <cfRule type="cellIs" dxfId="222" priority="6" operator="equal">
      <formula>"ERROR"</formula>
    </cfRule>
  </conditionalFormatting>
  <dataValidations count="3">
    <dataValidation type="list" allowBlank="1" showInputMessage="1" showErrorMessage="1" sqref="K24:K78 WVS983135:WVS983173 WLW983135:WLW983173 WCA983135:WCA983173 VSE983135:VSE983173 VII983135:VII983173 UYM983135:UYM983173 UOQ983135:UOQ983173 UEU983135:UEU983173 TUY983135:TUY983173 TLC983135:TLC983173 TBG983135:TBG983173 SRK983135:SRK983173 SHO983135:SHO983173 RXS983135:RXS983173 RNW983135:RNW983173 REA983135:REA983173 QUE983135:QUE983173 QKI983135:QKI983173 QAM983135:QAM983173 PQQ983135:PQQ983173 PGU983135:PGU983173 OWY983135:OWY983173 ONC983135:ONC983173 ODG983135:ODG983173 NTK983135:NTK983173 NJO983135:NJO983173 MZS983135:MZS983173 MPW983135:MPW983173 MGA983135:MGA983173 LWE983135:LWE983173 LMI983135:LMI983173 LCM983135:LCM983173 KSQ983135:KSQ983173 KIU983135:KIU983173 JYY983135:JYY983173 JPC983135:JPC983173 JFG983135:JFG983173 IVK983135:IVK983173 ILO983135:ILO983173 IBS983135:IBS983173 HRW983135:HRW983173 HIA983135:HIA983173 GYE983135:GYE983173 GOI983135:GOI983173 GEM983135:GEM983173 FUQ983135:FUQ983173 FKU983135:FKU983173 FAY983135:FAY983173 ERC983135:ERC983173 EHG983135:EHG983173 DXK983135:DXK983173 DNO983135:DNO983173 DDS983135:DDS983173 CTW983135:CTW983173 CKA983135:CKA983173 CAE983135:CAE983173 BQI983135:BQI983173 BGM983135:BGM983173 AWQ983135:AWQ983173 AMU983135:AMU983173 ACY983135:ACY983173 TC983135:TC983173 JG983135:JG983173 K983135:K983173 WVS917599:WVS917637 WLW917599:WLW917637 WCA917599:WCA917637 VSE917599:VSE917637 VII917599:VII917637 UYM917599:UYM917637 UOQ917599:UOQ917637 UEU917599:UEU917637 TUY917599:TUY917637 TLC917599:TLC917637 TBG917599:TBG917637 SRK917599:SRK917637 SHO917599:SHO917637 RXS917599:RXS917637 RNW917599:RNW917637 REA917599:REA917637 QUE917599:QUE917637 QKI917599:QKI917637 QAM917599:QAM917637 PQQ917599:PQQ917637 PGU917599:PGU917637 OWY917599:OWY917637 ONC917599:ONC917637 ODG917599:ODG917637 NTK917599:NTK917637 NJO917599:NJO917637 MZS917599:MZS917637 MPW917599:MPW917637 MGA917599:MGA917637 LWE917599:LWE917637 LMI917599:LMI917637 LCM917599:LCM917637 KSQ917599:KSQ917637 KIU917599:KIU917637 JYY917599:JYY917637 JPC917599:JPC917637 JFG917599:JFG917637 IVK917599:IVK917637 ILO917599:ILO917637 IBS917599:IBS917637 HRW917599:HRW917637 HIA917599:HIA917637 GYE917599:GYE917637 GOI917599:GOI917637 GEM917599:GEM917637 FUQ917599:FUQ917637 FKU917599:FKU917637 FAY917599:FAY917637 ERC917599:ERC917637 EHG917599:EHG917637 DXK917599:DXK917637 DNO917599:DNO917637 DDS917599:DDS917637 CTW917599:CTW917637 CKA917599:CKA917637 CAE917599:CAE917637 BQI917599:BQI917637 BGM917599:BGM917637 AWQ917599:AWQ917637 AMU917599:AMU917637 ACY917599:ACY917637 TC917599:TC917637 JG917599:JG917637 K917599:K917637 WVS852063:WVS852101 WLW852063:WLW852101 WCA852063:WCA852101 VSE852063:VSE852101 VII852063:VII852101 UYM852063:UYM852101 UOQ852063:UOQ852101 UEU852063:UEU852101 TUY852063:TUY852101 TLC852063:TLC852101 TBG852063:TBG852101 SRK852063:SRK852101 SHO852063:SHO852101 RXS852063:RXS852101 RNW852063:RNW852101 REA852063:REA852101 QUE852063:QUE852101 QKI852063:QKI852101 QAM852063:QAM852101 PQQ852063:PQQ852101 PGU852063:PGU852101 OWY852063:OWY852101 ONC852063:ONC852101 ODG852063:ODG852101 NTK852063:NTK852101 NJO852063:NJO852101 MZS852063:MZS852101 MPW852063:MPW852101 MGA852063:MGA852101 LWE852063:LWE852101 LMI852063:LMI852101 LCM852063:LCM852101 KSQ852063:KSQ852101 KIU852063:KIU852101 JYY852063:JYY852101 JPC852063:JPC852101 JFG852063:JFG852101 IVK852063:IVK852101 ILO852063:ILO852101 IBS852063:IBS852101 HRW852063:HRW852101 HIA852063:HIA852101 GYE852063:GYE852101 GOI852063:GOI852101 GEM852063:GEM852101 FUQ852063:FUQ852101 FKU852063:FKU852101 FAY852063:FAY852101 ERC852063:ERC852101 EHG852063:EHG852101 DXK852063:DXK852101 DNO852063:DNO852101 DDS852063:DDS852101 CTW852063:CTW852101 CKA852063:CKA852101 CAE852063:CAE852101 BQI852063:BQI852101 BGM852063:BGM852101 AWQ852063:AWQ852101 AMU852063:AMU852101 ACY852063:ACY852101 TC852063:TC852101 JG852063:JG852101 K852063:K852101 WVS786527:WVS786565 WLW786527:WLW786565 WCA786527:WCA786565 VSE786527:VSE786565 VII786527:VII786565 UYM786527:UYM786565 UOQ786527:UOQ786565 UEU786527:UEU786565 TUY786527:TUY786565 TLC786527:TLC786565 TBG786527:TBG786565 SRK786527:SRK786565 SHO786527:SHO786565 RXS786527:RXS786565 RNW786527:RNW786565 REA786527:REA786565 QUE786527:QUE786565 QKI786527:QKI786565 QAM786527:QAM786565 PQQ786527:PQQ786565 PGU786527:PGU786565 OWY786527:OWY786565 ONC786527:ONC786565 ODG786527:ODG786565 NTK786527:NTK786565 NJO786527:NJO786565 MZS786527:MZS786565 MPW786527:MPW786565 MGA786527:MGA786565 LWE786527:LWE786565 LMI786527:LMI786565 LCM786527:LCM786565 KSQ786527:KSQ786565 KIU786527:KIU786565 JYY786527:JYY786565 JPC786527:JPC786565 JFG786527:JFG786565 IVK786527:IVK786565 ILO786527:ILO786565 IBS786527:IBS786565 HRW786527:HRW786565 HIA786527:HIA786565 GYE786527:GYE786565 GOI786527:GOI786565 GEM786527:GEM786565 FUQ786527:FUQ786565 FKU786527:FKU786565 FAY786527:FAY786565 ERC786527:ERC786565 EHG786527:EHG786565 DXK786527:DXK786565 DNO786527:DNO786565 DDS786527:DDS786565 CTW786527:CTW786565 CKA786527:CKA786565 CAE786527:CAE786565 BQI786527:BQI786565 BGM786527:BGM786565 AWQ786527:AWQ786565 AMU786527:AMU786565 ACY786527:ACY786565 TC786527:TC786565 JG786527:JG786565 K786527:K786565 WVS720991:WVS721029 WLW720991:WLW721029 WCA720991:WCA721029 VSE720991:VSE721029 VII720991:VII721029 UYM720991:UYM721029 UOQ720991:UOQ721029 UEU720991:UEU721029 TUY720991:TUY721029 TLC720991:TLC721029 TBG720991:TBG721029 SRK720991:SRK721029 SHO720991:SHO721029 RXS720991:RXS721029 RNW720991:RNW721029 REA720991:REA721029 QUE720991:QUE721029 QKI720991:QKI721029 QAM720991:QAM721029 PQQ720991:PQQ721029 PGU720991:PGU721029 OWY720991:OWY721029 ONC720991:ONC721029 ODG720991:ODG721029 NTK720991:NTK721029 NJO720991:NJO721029 MZS720991:MZS721029 MPW720991:MPW721029 MGA720991:MGA721029 LWE720991:LWE721029 LMI720991:LMI721029 LCM720991:LCM721029 KSQ720991:KSQ721029 KIU720991:KIU721029 JYY720991:JYY721029 JPC720991:JPC721029 JFG720991:JFG721029 IVK720991:IVK721029 ILO720991:ILO721029 IBS720991:IBS721029 HRW720991:HRW721029 HIA720991:HIA721029 GYE720991:GYE721029 GOI720991:GOI721029 GEM720991:GEM721029 FUQ720991:FUQ721029 FKU720991:FKU721029 FAY720991:FAY721029 ERC720991:ERC721029 EHG720991:EHG721029 DXK720991:DXK721029 DNO720991:DNO721029 DDS720991:DDS721029 CTW720991:CTW721029 CKA720991:CKA721029 CAE720991:CAE721029 BQI720991:BQI721029 BGM720991:BGM721029 AWQ720991:AWQ721029 AMU720991:AMU721029 ACY720991:ACY721029 TC720991:TC721029 JG720991:JG721029 K720991:K721029 WVS655455:WVS655493 WLW655455:WLW655493 WCA655455:WCA655493 VSE655455:VSE655493 VII655455:VII655493 UYM655455:UYM655493 UOQ655455:UOQ655493 UEU655455:UEU655493 TUY655455:TUY655493 TLC655455:TLC655493 TBG655455:TBG655493 SRK655455:SRK655493 SHO655455:SHO655493 RXS655455:RXS655493 RNW655455:RNW655493 REA655455:REA655493 QUE655455:QUE655493 QKI655455:QKI655493 QAM655455:QAM655493 PQQ655455:PQQ655493 PGU655455:PGU655493 OWY655455:OWY655493 ONC655455:ONC655493 ODG655455:ODG655493 NTK655455:NTK655493 NJO655455:NJO655493 MZS655455:MZS655493 MPW655455:MPW655493 MGA655455:MGA655493 LWE655455:LWE655493 LMI655455:LMI655493 LCM655455:LCM655493 KSQ655455:KSQ655493 KIU655455:KIU655493 JYY655455:JYY655493 JPC655455:JPC655493 JFG655455:JFG655493 IVK655455:IVK655493 ILO655455:ILO655493 IBS655455:IBS655493 HRW655455:HRW655493 HIA655455:HIA655493 GYE655455:GYE655493 GOI655455:GOI655493 GEM655455:GEM655493 FUQ655455:FUQ655493 FKU655455:FKU655493 FAY655455:FAY655493 ERC655455:ERC655493 EHG655455:EHG655493 DXK655455:DXK655493 DNO655455:DNO655493 DDS655455:DDS655493 CTW655455:CTW655493 CKA655455:CKA655493 CAE655455:CAE655493 BQI655455:BQI655493 BGM655455:BGM655493 AWQ655455:AWQ655493 AMU655455:AMU655493 ACY655455:ACY655493 TC655455:TC655493 JG655455:JG655493 K655455:K655493 WVS589919:WVS589957 WLW589919:WLW589957 WCA589919:WCA589957 VSE589919:VSE589957 VII589919:VII589957 UYM589919:UYM589957 UOQ589919:UOQ589957 UEU589919:UEU589957 TUY589919:TUY589957 TLC589919:TLC589957 TBG589919:TBG589957 SRK589919:SRK589957 SHO589919:SHO589957 RXS589919:RXS589957 RNW589919:RNW589957 REA589919:REA589957 QUE589919:QUE589957 QKI589919:QKI589957 QAM589919:QAM589957 PQQ589919:PQQ589957 PGU589919:PGU589957 OWY589919:OWY589957 ONC589919:ONC589957 ODG589919:ODG589957 NTK589919:NTK589957 NJO589919:NJO589957 MZS589919:MZS589957 MPW589919:MPW589957 MGA589919:MGA589957 LWE589919:LWE589957 LMI589919:LMI589957 LCM589919:LCM589957 KSQ589919:KSQ589957 KIU589919:KIU589957 JYY589919:JYY589957 JPC589919:JPC589957 JFG589919:JFG589957 IVK589919:IVK589957 ILO589919:ILO589957 IBS589919:IBS589957 HRW589919:HRW589957 HIA589919:HIA589957 GYE589919:GYE589957 GOI589919:GOI589957 GEM589919:GEM589957 FUQ589919:FUQ589957 FKU589919:FKU589957 FAY589919:FAY589957 ERC589919:ERC589957 EHG589919:EHG589957 DXK589919:DXK589957 DNO589919:DNO589957 DDS589919:DDS589957 CTW589919:CTW589957 CKA589919:CKA589957 CAE589919:CAE589957 BQI589919:BQI589957 BGM589919:BGM589957 AWQ589919:AWQ589957 AMU589919:AMU589957 ACY589919:ACY589957 TC589919:TC589957 JG589919:JG589957 K589919:K589957 WVS524383:WVS524421 WLW524383:WLW524421 WCA524383:WCA524421 VSE524383:VSE524421 VII524383:VII524421 UYM524383:UYM524421 UOQ524383:UOQ524421 UEU524383:UEU524421 TUY524383:TUY524421 TLC524383:TLC524421 TBG524383:TBG524421 SRK524383:SRK524421 SHO524383:SHO524421 RXS524383:RXS524421 RNW524383:RNW524421 REA524383:REA524421 QUE524383:QUE524421 QKI524383:QKI524421 QAM524383:QAM524421 PQQ524383:PQQ524421 PGU524383:PGU524421 OWY524383:OWY524421 ONC524383:ONC524421 ODG524383:ODG524421 NTK524383:NTK524421 NJO524383:NJO524421 MZS524383:MZS524421 MPW524383:MPW524421 MGA524383:MGA524421 LWE524383:LWE524421 LMI524383:LMI524421 LCM524383:LCM524421 KSQ524383:KSQ524421 KIU524383:KIU524421 JYY524383:JYY524421 JPC524383:JPC524421 JFG524383:JFG524421 IVK524383:IVK524421 ILO524383:ILO524421 IBS524383:IBS524421 HRW524383:HRW524421 HIA524383:HIA524421 GYE524383:GYE524421 GOI524383:GOI524421 GEM524383:GEM524421 FUQ524383:FUQ524421 FKU524383:FKU524421 FAY524383:FAY524421 ERC524383:ERC524421 EHG524383:EHG524421 DXK524383:DXK524421 DNO524383:DNO524421 DDS524383:DDS524421 CTW524383:CTW524421 CKA524383:CKA524421 CAE524383:CAE524421 BQI524383:BQI524421 BGM524383:BGM524421 AWQ524383:AWQ524421 AMU524383:AMU524421 ACY524383:ACY524421 TC524383:TC524421 JG524383:JG524421 K524383:K524421 WVS458847:WVS458885 WLW458847:WLW458885 WCA458847:WCA458885 VSE458847:VSE458885 VII458847:VII458885 UYM458847:UYM458885 UOQ458847:UOQ458885 UEU458847:UEU458885 TUY458847:TUY458885 TLC458847:TLC458885 TBG458847:TBG458885 SRK458847:SRK458885 SHO458847:SHO458885 RXS458847:RXS458885 RNW458847:RNW458885 REA458847:REA458885 QUE458847:QUE458885 QKI458847:QKI458885 QAM458847:QAM458885 PQQ458847:PQQ458885 PGU458847:PGU458885 OWY458847:OWY458885 ONC458847:ONC458885 ODG458847:ODG458885 NTK458847:NTK458885 NJO458847:NJO458885 MZS458847:MZS458885 MPW458847:MPW458885 MGA458847:MGA458885 LWE458847:LWE458885 LMI458847:LMI458885 LCM458847:LCM458885 KSQ458847:KSQ458885 KIU458847:KIU458885 JYY458847:JYY458885 JPC458847:JPC458885 JFG458847:JFG458885 IVK458847:IVK458885 ILO458847:ILO458885 IBS458847:IBS458885 HRW458847:HRW458885 HIA458847:HIA458885 GYE458847:GYE458885 GOI458847:GOI458885 GEM458847:GEM458885 FUQ458847:FUQ458885 FKU458847:FKU458885 FAY458847:FAY458885 ERC458847:ERC458885 EHG458847:EHG458885 DXK458847:DXK458885 DNO458847:DNO458885 DDS458847:DDS458885 CTW458847:CTW458885 CKA458847:CKA458885 CAE458847:CAE458885 BQI458847:BQI458885 BGM458847:BGM458885 AWQ458847:AWQ458885 AMU458847:AMU458885 ACY458847:ACY458885 TC458847:TC458885 JG458847:JG458885 K458847:K458885 WVS393311:WVS393349 WLW393311:WLW393349 WCA393311:WCA393349 VSE393311:VSE393349 VII393311:VII393349 UYM393311:UYM393349 UOQ393311:UOQ393349 UEU393311:UEU393349 TUY393311:TUY393349 TLC393311:TLC393349 TBG393311:TBG393349 SRK393311:SRK393349 SHO393311:SHO393349 RXS393311:RXS393349 RNW393311:RNW393349 REA393311:REA393349 QUE393311:QUE393349 QKI393311:QKI393349 QAM393311:QAM393349 PQQ393311:PQQ393349 PGU393311:PGU393349 OWY393311:OWY393349 ONC393311:ONC393349 ODG393311:ODG393349 NTK393311:NTK393349 NJO393311:NJO393349 MZS393311:MZS393349 MPW393311:MPW393349 MGA393311:MGA393349 LWE393311:LWE393349 LMI393311:LMI393349 LCM393311:LCM393349 KSQ393311:KSQ393349 KIU393311:KIU393349 JYY393311:JYY393349 JPC393311:JPC393349 JFG393311:JFG393349 IVK393311:IVK393349 ILO393311:ILO393349 IBS393311:IBS393349 HRW393311:HRW393349 HIA393311:HIA393349 GYE393311:GYE393349 GOI393311:GOI393349 GEM393311:GEM393349 FUQ393311:FUQ393349 FKU393311:FKU393349 FAY393311:FAY393349 ERC393311:ERC393349 EHG393311:EHG393349 DXK393311:DXK393349 DNO393311:DNO393349 DDS393311:DDS393349 CTW393311:CTW393349 CKA393311:CKA393349 CAE393311:CAE393349 BQI393311:BQI393349 BGM393311:BGM393349 AWQ393311:AWQ393349 AMU393311:AMU393349 ACY393311:ACY393349 TC393311:TC393349 JG393311:JG393349 K393311:K393349 WVS327775:WVS327813 WLW327775:WLW327813 WCA327775:WCA327813 VSE327775:VSE327813 VII327775:VII327813 UYM327775:UYM327813 UOQ327775:UOQ327813 UEU327775:UEU327813 TUY327775:TUY327813 TLC327775:TLC327813 TBG327775:TBG327813 SRK327775:SRK327813 SHO327775:SHO327813 RXS327775:RXS327813 RNW327775:RNW327813 REA327775:REA327813 QUE327775:QUE327813 QKI327775:QKI327813 QAM327775:QAM327813 PQQ327775:PQQ327813 PGU327775:PGU327813 OWY327775:OWY327813 ONC327775:ONC327813 ODG327775:ODG327813 NTK327775:NTK327813 NJO327775:NJO327813 MZS327775:MZS327813 MPW327775:MPW327813 MGA327775:MGA327813 LWE327775:LWE327813 LMI327775:LMI327813 LCM327775:LCM327813 KSQ327775:KSQ327813 KIU327775:KIU327813 JYY327775:JYY327813 JPC327775:JPC327813 JFG327775:JFG327813 IVK327775:IVK327813 ILO327775:ILO327813 IBS327775:IBS327813 HRW327775:HRW327813 HIA327775:HIA327813 GYE327775:GYE327813 GOI327775:GOI327813 GEM327775:GEM327813 FUQ327775:FUQ327813 FKU327775:FKU327813 FAY327775:FAY327813 ERC327775:ERC327813 EHG327775:EHG327813 DXK327775:DXK327813 DNO327775:DNO327813 DDS327775:DDS327813 CTW327775:CTW327813 CKA327775:CKA327813 CAE327775:CAE327813 BQI327775:BQI327813 BGM327775:BGM327813 AWQ327775:AWQ327813 AMU327775:AMU327813 ACY327775:ACY327813 TC327775:TC327813 JG327775:JG327813 K327775:K327813 WVS262239:WVS262277 WLW262239:WLW262277 WCA262239:WCA262277 VSE262239:VSE262277 VII262239:VII262277 UYM262239:UYM262277 UOQ262239:UOQ262277 UEU262239:UEU262277 TUY262239:TUY262277 TLC262239:TLC262277 TBG262239:TBG262277 SRK262239:SRK262277 SHO262239:SHO262277 RXS262239:RXS262277 RNW262239:RNW262277 REA262239:REA262277 QUE262239:QUE262277 QKI262239:QKI262277 QAM262239:QAM262277 PQQ262239:PQQ262277 PGU262239:PGU262277 OWY262239:OWY262277 ONC262239:ONC262277 ODG262239:ODG262277 NTK262239:NTK262277 NJO262239:NJO262277 MZS262239:MZS262277 MPW262239:MPW262277 MGA262239:MGA262277 LWE262239:LWE262277 LMI262239:LMI262277 LCM262239:LCM262277 KSQ262239:KSQ262277 KIU262239:KIU262277 JYY262239:JYY262277 JPC262239:JPC262277 JFG262239:JFG262277 IVK262239:IVK262277 ILO262239:ILO262277 IBS262239:IBS262277 HRW262239:HRW262277 HIA262239:HIA262277 GYE262239:GYE262277 GOI262239:GOI262277 GEM262239:GEM262277 FUQ262239:FUQ262277 FKU262239:FKU262277 FAY262239:FAY262277 ERC262239:ERC262277 EHG262239:EHG262277 DXK262239:DXK262277 DNO262239:DNO262277 DDS262239:DDS262277 CTW262239:CTW262277 CKA262239:CKA262277 CAE262239:CAE262277 BQI262239:BQI262277 BGM262239:BGM262277 AWQ262239:AWQ262277 AMU262239:AMU262277 ACY262239:ACY262277 TC262239:TC262277 JG262239:JG262277 K262239:K262277 WVS196703:WVS196741 WLW196703:WLW196741 WCA196703:WCA196741 VSE196703:VSE196741 VII196703:VII196741 UYM196703:UYM196741 UOQ196703:UOQ196741 UEU196703:UEU196741 TUY196703:TUY196741 TLC196703:TLC196741 TBG196703:TBG196741 SRK196703:SRK196741 SHO196703:SHO196741 RXS196703:RXS196741 RNW196703:RNW196741 REA196703:REA196741 QUE196703:QUE196741 QKI196703:QKI196741 QAM196703:QAM196741 PQQ196703:PQQ196741 PGU196703:PGU196741 OWY196703:OWY196741 ONC196703:ONC196741 ODG196703:ODG196741 NTK196703:NTK196741 NJO196703:NJO196741 MZS196703:MZS196741 MPW196703:MPW196741 MGA196703:MGA196741 LWE196703:LWE196741 LMI196703:LMI196741 LCM196703:LCM196741 KSQ196703:KSQ196741 KIU196703:KIU196741 JYY196703:JYY196741 JPC196703:JPC196741 JFG196703:JFG196741 IVK196703:IVK196741 ILO196703:ILO196741 IBS196703:IBS196741 HRW196703:HRW196741 HIA196703:HIA196741 GYE196703:GYE196741 GOI196703:GOI196741 GEM196703:GEM196741 FUQ196703:FUQ196741 FKU196703:FKU196741 FAY196703:FAY196741 ERC196703:ERC196741 EHG196703:EHG196741 DXK196703:DXK196741 DNO196703:DNO196741 DDS196703:DDS196741 CTW196703:CTW196741 CKA196703:CKA196741 CAE196703:CAE196741 BQI196703:BQI196741 BGM196703:BGM196741 AWQ196703:AWQ196741 AMU196703:AMU196741 ACY196703:ACY196741 TC196703:TC196741 JG196703:JG196741 K196703:K196741 WVS131167:WVS131205 WLW131167:WLW131205 WCA131167:WCA131205 VSE131167:VSE131205 VII131167:VII131205 UYM131167:UYM131205 UOQ131167:UOQ131205 UEU131167:UEU131205 TUY131167:TUY131205 TLC131167:TLC131205 TBG131167:TBG131205 SRK131167:SRK131205 SHO131167:SHO131205 RXS131167:RXS131205 RNW131167:RNW131205 REA131167:REA131205 QUE131167:QUE131205 QKI131167:QKI131205 QAM131167:QAM131205 PQQ131167:PQQ131205 PGU131167:PGU131205 OWY131167:OWY131205 ONC131167:ONC131205 ODG131167:ODG131205 NTK131167:NTK131205 NJO131167:NJO131205 MZS131167:MZS131205 MPW131167:MPW131205 MGA131167:MGA131205 LWE131167:LWE131205 LMI131167:LMI131205 LCM131167:LCM131205 KSQ131167:KSQ131205 KIU131167:KIU131205 JYY131167:JYY131205 JPC131167:JPC131205 JFG131167:JFG131205 IVK131167:IVK131205 ILO131167:ILO131205 IBS131167:IBS131205 HRW131167:HRW131205 HIA131167:HIA131205 GYE131167:GYE131205 GOI131167:GOI131205 GEM131167:GEM131205 FUQ131167:FUQ131205 FKU131167:FKU131205 FAY131167:FAY131205 ERC131167:ERC131205 EHG131167:EHG131205 DXK131167:DXK131205 DNO131167:DNO131205 DDS131167:DDS131205 CTW131167:CTW131205 CKA131167:CKA131205 CAE131167:CAE131205 BQI131167:BQI131205 BGM131167:BGM131205 AWQ131167:AWQ131205 AMU131167:AMU131205 ACY131167:ACY131205 TC131167:TC131205 JG131167:JG131205 K131167:K131205 WVS65631:WVS65669 WLW65631:WLW65669 WCA65631:WCA65669 VSE65631:VSE65669 VII65631:VII65669 UYM65631:UYM65669 UOQ65631:UOQ65669 UEU65631:UEU65669 TUY65631:TUY65669 TLC65631:TLC65669 TBG65631:TBG65669 SRK65631:SRK65669 SHO65631:SHO65669 RXS65631:RXS65669 RNW65631:RNW65669 REA65631:REA65669 QUE65631:QUE65669 QKI65631:QKI65669 QAM65631:QAM65669 PQQ65631:PQQ65669 PGU65631:PGU65669 OWY65631:OWY65669 ONC65631:ONC65669 ODG65631:ODG65669 NTK65631:NTK65669 NJO65631:NJO65669 MZS65631:MZS65669 MPW65631:MPW65669 MGA65631:MGA65669 LWE65631:LWE65669 LMI65631:LMI65669 LCM65631:LCM65669 KSQ65631:KSQ65669 KIU65631:KIU65669 JYY65631:JYY65669 JPC65631:JPC65669 JFG65631:JFG65669 IVK65631:IVK65669 ILO65631:ILO65669 IBS65631:IBS65669 HRW65631:HRW65669 HIA65631:HIA65669 GYE65631:GYE65669 GOI65631:GOI65669 GEM65631:GEM65669 FUQ65631:FUQ65669 FKU65631:FKU65669 FAY65631:FAY65669 ERC65631:ERC65669 EHG65631:EHG65669 DXK65631:DXK65669 DNO65631:DNO65669 DDS65631:DDS65669 CTW65631:CTW65669 CKA65631:CKA65669 CAE65631:CAE65669 BQI65631:BQI65669 BGM65631:BGM65669 AWQ65631:AWQ65669 AMU65631:AMU65669 ACY65631:ACY65669 TC65631:TC65669 JG65631:JG65669 K65631:K65669 WVS83:WVS121 WLW83:WLW121 WCA83:WCA121 VSE83:VSE121 VII83:VII121 UYM83:UYM121 UOQ83:UOQ121 UEU83:UEU121 TUY83:TUY121 TLC83:TLC121 TBG83:TBG121 SRK83:SRK121 SHO83:SHO121 RXS83:RXS121 RNW83:RNW121 REA83:REA121 QUE83:QUE121 QKI83:QKI121 QAM83:QAM121 PQQ83:PQQ121 PGU83:PGU121 OWY83:OWY121 ONC83:ONC121 ODG83:ODG121 NTK83:NTK121 NJO83:NJO121 MZS83:MZS121 MPW83:MPW121 MGA83:MGA121 LWE83:LWE121 LMI83:LMI121 LCM83:LCM121 KSQ83:KSQ121 KIU83:KIU121 JYY83:JYY121 JPC83:JPC121 JFG83:JFG121 IVK83:IVK121 ILO83:ILO121 IBS83:IBS121 HRW83:HRW121 HIA83:HIA121 GYE83:GYE121 GOI83:GOI121 GEM83:GEM121 FUQ83:FUQ121 FKU83:FKU121 FAY83:FAY121 ERC83:ERC121 EHG83:EHG121 DXK83:DXK121 DNO83:DNO121 DDS83:DDS121 CTW83:CTW121 CKA83:CKA121 CAE83:CAE121 BQI83:BQI121 BGM83:BGM121 AWQ83:AWQ121 AMU83:AMU121 ACY83:ACY121 TC83:TC121 JG83:JG121 K83:K121 WVS983077:WVS983130 WLW983077:WLW983130 WCA983077:WCA983130 VSE983077:VSE983130 VII983077:VII983130 UYM983077:UYM983130 UOQ983077:UOQ983130 UEU983077:UEU983130 TUY983077:TUY983130 TLC983077:TLC983130 TBG983077:TBG983130 SRK983077:SRK983130 SHO983077:SHO983130 RXS983077:RXS983130 RNW983077:RNW983130 REA983077:REA983130 QUE983077:QUE983130 QKI983077:QKI983130 QAM983077:QAM983130 PQQ983077:PQQ983130 PGU983077:PGU983130 OWY983077:OWY983130 ONC983077:ONC983130 ODG983077:ODG983130 NTK983077:NTK983130 NJO983077:NJO983130 MZS983077:MZS983130 MPW983077:MPW983130 MGA983077:MGA983130 LWE983077:LWE983130 LMI983077:LMI983130 LCM983077:LCM983130 KSQ983077:KSQ983130 KIU983077:KIU983130 JYY983077:JYY983130 JPC983077:JPC983130 JFG983077:JFG983130 IVK983077:IVK983130 ILO983077:ILO983130 IBS983077:IBS983130 HRW983077:HRW983130 HIA983077:HIA983130 GYE983077:GYE983130 GOI983077:GOI983130 GEM983077:GEM983130 FUQ983077:FUQ983130 FKU983077:FKU983130 FAY983077:FAY983130 ERC983077:ERC983130 EHG983077:EHG983130 DXK983077:DXK983130 DNO983077:DNO983130 DDS983077:DDS983130 CTW983077:CTW983130 CKA983077:CKA983130 CAE983077:CAE983130 BQI983077:BQI983130 BGM983077:BGM983130 AWQ983077:AWQ983130 AMU983077:AMU983130 ACY983077:ACY983130 TC983077:TC983130 JG983077:JG983130 K983077:K983130 WVS917541:WVS917594 WLW917541:WLW917594 WCA917541:WCA917594 VSE917541:VSE917594 VII917541:VII917594 UYM917541:UYM917594 UOQ917541:UOQ917594 UEU917541:UEU917594 TUY917541:TUY917594 TLC917541:TLC917594 TBG917541:TBG917594 SRK917541:SRK917594 SHO917541:SHO917594 RXS917541:RXS917594 RNW917541:RNW917594 REA917541:REA917594 QUE917541:QUE917594 QKI917541:QKI917594 QAM917541:QAM917594 PQQ917541:PQQ917594 PGU917541:PGU917594 OWY917541:OWY917594 ONC917541:ONC917594 ODG917541:ODG917594 NTK917541:NTK917594 NJO917541:NJO917594 MZS917541:MZS917594 MPW917541:MPW917594 MGA917541:MGA917594 LWE917541:LWE917594 LMI917541:LMI917594 LCM917541:LCM917594 KSQ917541:KSQ917594 KIU917541:KIU917594 JYY917541:JYY917594 JPC917541:JPC917594 JFG917541:JFG917594 IVK917541:IVK917594 ILO917541:ILO917594 IBS917541:IBS917594 HRW917541:HRW917594 HIA917541:HIA917594 GYE917541:GYE917594 GOI917541:GOI917594 GEM917541:GEM917594 FUQ917541:FUQ917594 FKU917541:FKU917594 FAY917541:FAY917594 ERC917541:ERC917594 EHG917541:EHG917594 DXK917541:DXK917594 DNO917541:DNO917594 DDS917541:DDS917594 CTW917541:CTW917594 CKA917541:CKA917594 CAE917541:CAE917594 BQI917541:BQI917594 BGM917541:BGM917594 AWQ917541:AWQ917594 AMU917541:AMU917594 ACY917541:ACY917594 TC917541:TC917594 JG917541:JG917594 K917541:K917594 WVS852005:WVS852058 WLW852005:WLW852058 WCA852005:WCA852058 VSE852005:VSE852058 VII852005:VII852058 UYM852005:UYM852058 UOQ852005:UOQ852058 UEU852005:UEU852058 TUY852005:TUY852058 TLC852005:TLC852058 TBG852005:TBG852058 SRK852005:SRK852058 SHO852005:SHO852058 RXS852005:RXS852058 RNW852005:RNW852058 REA852005:REA852058 QUE852005:QUE852058 QKI852005:QKI852058 QAM852005:QAM852058 PQQ852005:PQQ852058 PGU852005:PGU852058 OWY852005:OWY852058 ONC852005:ONC852058 ODG852005:ODG852058 NTK852005:NTK852058 NJO852005:NJO852058 MZS852005:MZS852058 MPW852005:MPW852058 MGA852005:MGA852058 LWE852005:LWE852058 LMI852005:LMI852058 LCM852005:LCM852058 KSQ852005:KSQ852058 KIU852005:KIU852058 JYY852005:JYY852058 JPC852005:JPC852058 JFG852005:JFG852058 IVK852005:IVK852058 ILO852005:ILO852058 IBS852005:IBS852058 HRW852005:HRW852058 HIA852005:HIA852058 GYE852005:GYE852058 GOI852005:GOI852058 GEM852005:GEM852058 FUQ852005:FUQ852058 FKU852005:FKU852058 FAY852005:FAY852058 ERC852005:ERC852058 EHG852005:EHG852058 DXK852005:DXK852058 DNO852005:DNO852058 DDS852005:DDS852058 CTW852005:CTW852058 CKA852005:CKA852058 CAE852005:CAE852058 BQI852005:BQI852058 BGM852005:BGM852058 AWQ852005:AWQ852058 AMU852005:AMU852058 ACY852005:ACY852058 TC852005:TC852058 JG852005:JG852058 K852005:K852058 WVS786469:WVS786522 WLW786469:WLW786522 WCA786469:WCA786522 VSE786469:VSE786522 VII786469:VII786522 UYM786469:UYM786522 UOQ786469:UOQ786522 UEU786469:UEU786522 TUY786469:TUY786522 TLC786469:TLC786522 TBG786469:TBG786522 SRK786469:SRK786522 SHO786469:SHO786522 RXS786469:RXS786522 RNW786469:RNW786522 REA786469:REA786522 QUE786469:QUE786522 QKI786469:QKI786522 QAM786469:QAM786522 PQQ786469:PQQ786522 PGU786469:PGU786522 OWY786469:OWY786522 ONC786469:ONC786522 ODG786469:ODG786522 NTK786469:NTK786522 NJO786469:NJO786522 MZS786469:MZS786522 MPW786469:MPW786522 MGA786469:MGA786522 LWE786469:LWE786522 LMI786469:LMI786522 LCM786469:LCM786522 KSQ786469:KSQ786522 KIU786469:KIU786522 JYY786469:JYY786522 JPC786469:JPC786522 JFG786469:JFG786522 IVK786469:IVK786522 ILO786469:ILO786522 IBS786469:IBS786522 HRW786469:HRW786522 HIA786469:HIA786522 GYE786469:GYE786522 GOI786469:GOI786522 GEM786469:GEM786522 FUQ786469:FUQ786522 FKU786469:FKU786522 FAY786469:FAY786522 ERC786469:ERC786522 EHG786469:EHG786522 DXK786469:DXK786522 DNO786469:DNO786522 DDS786469:DDS786522 CTW786469:CTW786522 CKA786469:CKA786522 CAE786469:CAE786522 BQI786469:BQI786522 BGM786469:BGM786522 AWQ786469:AWQ786522 AMU786469:AMU786522 ACY786469:ACY786522 TC786469:TC786522 JG786469:JG786522 K786469:K786522 WVS720933:WVS720986 WLW720933:WLW720986 WCA720933:WCA720986 VSE720933:VSE720986 VII720933:VII720986 UYM720933:UYM720986 UOQ720933:UOQ720986 UEU720933:UEU720986 TUY720933:TUY720986 TLC720933:TLC720986 TBG720933:TBG720986 SRK720933:SRK720986 SHO720933:SHO720986 RXS720933:RXS720986 RNW720933:RNW720986 REA720933:REA720986 QUE720933:QUE720986 QKI720933:QKI720986 QAM720933:QAM720986 PQQ720933:PQQ720986 PGU720933:PGU720986 OWY720933:OWY720986 ONC720933:ONC720986 ODG720933:ODG720986 NTK720933:NTK720986 NJO720933:NJO720986 MZS720933:MZS720986 MPW720933:MPW720986 MGA720933:MGA720986 LWE720933:LWE720986 LMI720933:LMI720986 LCM720933:LCM720986 KSQ720933:KSQ720986 KIU720933:KIU720986 JYY720933:JYY720986 JPC720933:JPC720986 JFG720933:JFG720986 IVK720933:IVK720986 ILO720933:ILO720986 IBS720933:IBS720986 HRW720933:HRW720986 HIA720933:HIA720986 GYE720933:GYE720986 GOI720933:GOI720986 GEM720933:GEM720986 FUQ720933:FUQ720986 FKU720933:FKU720986 FAY720933:FAY720986 ERC720933:ERC720986 EHG720933:EHG720986 DXK720933:DXK720986 DNO720933:DNO720986 DDS720933:DDS720986 CTW720933:CTW720986 CKA720933:CKA720986 CAE720933:CAE720986 BQI720933:BQI720986 BGM720933:BGM720986 AWQ720933:AWQ720986 AMU720933:AMU720986 ACY720933:ACY720986 TC720933:TC720986 JG720933:JG720986 K720933:K720986 WVS655397:WVS655450 WLW655397:WLW655450 WCA655397:WCA655450 VSE655397:VSE655450 VII655397:VII655450 UYM655397:UYM655450 UOQ655397:UOQ655450 UEU655397:UEU655450 TUY655397:TUY655450 TLC655397:TLC655450 TBG655397:TBG655450 SRK655397:SRK655450 SHO655397:SHO655450 RXS655397:RXS655450 RNW655397:RNW655450 REA655397:REA655450 QUE655397:QUE655450 QKI655397:QKI655450 QAM655397:QAM655450 PQQ655397:PQQ655450 PGU655397:PGU655450 OWY655397:OWY655450 ONC655397:ONC655450 ODG655397:ODG655450 NTK655397:NTK655450 NJO655397:NJO655450 MZS655397:MZS655450 MPW655397:MPW655450 MGA655397:MGA655450 LWE655397:LWE655450 LMI655397:LMI655450 LCM655397:LCM655450 KSQ655397:KSQ655450 KIU655397:KIU655450 JYY655397:JYY655450 JPC655397:JPC655450 JFG655397:JFG655450 IVK655397:IVK655450 ILO655397:ILO655450 IBS655397:IBS655450 HRW655397:HRW655450 HIA655397:HIA655450 GYE655397:GYE655450 GOI655397:GOI655450 GEM655397:GEM655450 FUQ655397:FUQ655450 FKU655397:FKU655450 FAY655397:FAY655450 ERC655397:ERC655450 EHG655397:EHG655450 DXK655397:DXK655450 DNO655397:DNO655450 DDS655397:DDS655450 CTW655397:CTW655450 CKA655397:CKA655450 CAE655397:CAE655450 BQI655397:BQI655450 BGM655397:BGM655450 AWQ655397:AWQ655450 AMU655397:AMU655450 ACY655397:ACY655450 TC655397:TC655450 JG655397:JG655450 K655397:K655450 WVS589861:WVS589914 WLW589861:WLW589914 WCA589861:WCA589914 VSE589861:VSE589914 VII589861:VII589914 UYM589861:UYM589914 UOQ589861:UOQ589914 UEU589861:UEU589914 TUY589861:TUY589914 TLC589861:TLC589914 TBG589861:TBG589914 SRK589861:SRK589914 SHO589861:SHO589914 RXS589861:RXS589914 RNW589861:RNW589914 REA589861:REA589914 QUE589861:QUE589914 QKI589861:QKI589914 QAM589861:QAM589914 PQQ589861:PQQ589914 PGU589861:PGU589914 OWY589861:OWY589914 ONC589861:ONC589914 ODG589861:ODG589914 NTK589861:NTK589914 NJO589861:NJO589914 MZS589861:MZS589914 MPW589861:MPW589914 MGA589861:MGA589914 LWE589861:LWE589914 LMI589861:LMI589914 LCM589861:LCM589914 KSQ589861:KSQ589914 KIU589861:KIU589914 JYY589861:JYY589914 JPC589861:JPC589914 JFG589861:JFG589914 IVK589861:IVK589914 ILO589861:ILO589914 IBS589861:IBS589914 HRW589861:HRW589914 HIA589861:HIA589914 GYE589861:GYE589914 GOI589861:GOI589914 GEM589861:GEM589914 FUQ589861:FUQ589914 FKU589861:FKU589914 FAY589861:FAY589914 ERC589861:ERC589914 EHG589861:EHG589914 DXK589861:DXK589914 DNO589861:DNO589914 DDS589861:DDS589914 CTW589861:CTW589914 CKA589861:CKA589914 CAE589861:CAE589914 BQI589861:BQI589914 BGM589861:BGM589914 AWQ589861:AWQ589914 AMU589861:AMU589914 ACY589861:ACY589914 TC589861:TC589914 JG589861:JG589914 K589861:K589914 WVS524325:WVS524378 WLW524325:WLW524378 WCA524325:WCA524378 VSE524325:VSE524378 VII524325:VII524378 UYM524325:UYM524378 UOQ524325:UOQ524378 UEU524325:UEU524378 TUY524325:TUY524378 TLC524325:TLC524378 TBG524325:TBG524378 SRK524325:SRK524378 SHO524325:SHO524378 RXS524325:RXS524378 RNW524325:RNW524378 REA524325:REA524378 QUE524325:QUE524378 QKI524325:QKI524378 QAM524325:QAM524378 PQQ524325:PQQ524378 PGU524325:PGU524378 OWY524325:OWY524378 ONC524325:ONC524378 ODG524325:ODG524378 NTK524325:NTK524378 NJO524325:NJO524378 MZS524325:MZS524378 MPW524325:MPW524378 MGA524325:MGA524378 LWE524325:LWE524378 LMI524325:LMI524378 LCM524325:LCM524378 KSQ524325:KSQ524378 KIU524325:KIU524378 JYY524325:JYY524378 JPC524325:JPC524378 JFG524325:JFG524378 IVK524325:IVK524378 ILO524325:ILO524378 IBS524325:IBS524378 HRW524325:HRW524378 HIA524325:HIA524378 GYE524325:GYE524378 GOI524325:GOI524378 GEM524325:GEM524378 FUQ524325:FUQ524378 FKU524325:FKU524378 FAY524325:FAY524378 ERC524325:ERC524378 EHG524325:EHG524378 DXK524325:DXK524378 DNO524325:DNO524378 DDS524325:DDS524378 CTW524325:CTW524378 CKA524325:CKA524378 CAE524325:CAE524378 BQI524325:BQI524378 BGM524325:BGM524378 AWQ524325:AWQ524378 AMU524325:AMU524378 ACY524325:ACY524378 TC524325:TC524378 JG524325:JG524378 K524325:K524378 WVS458789:WVS458842 WLW458789:WLW458842 WCA458789:WCA458842 VSE458789:VSE458842 VII458789:VII458842 UYM458789:UYM458842 UOQ458789:UOQ458842 UEU458789:UEU458842 TUY458789:TUY458842 TLC458789:TLC458842 TBG458789:TBG458842 SRK458789:SRK458842 SHO458789:SHO458842 RXS458789:RXS458842 RNW458789:RNW458842 REA458789:REA458842 QUE458789:QUE458842 QKI458789:QKI458842 QAM458789:QAM458842 PQQ458789:PQQ458842 PGU458789:PGU458842 OWY458789:OWY458842 ONC458789:ONC458842 ODG458789:ODG458842 NTK458789:NTK458842 NJO458789:NJO458842 MZS458789:MZS458842 MPW458789:MPW458842 MGA458789:MGA458842 LWE458789:LWE458842 LMI458789:LMI458842 LCM458789:LCM458842 KSQ458789:KSQ458842 KIU458789:KIU458842 JYY458789:JYY458842 JPC458789:JPC458842 JFG458789:JFG458842 IVK458789:IVK458842 ILO458789:ILO458842 IBS458789:IBS458842 HRW458789:HRW458842 HIA458789:HIA458842 GYE458789:GYE458842 GOI458789:GOI458842 GEM458789:GEM458842 FUQ458789:FUQ458842 FKU458789:FKU458842 FAY458789:FAY458842 ERC458789:ERC458842 EHG458789:EHG458842 DXK458789:DXK458842 DNO458789:DNO458842 DDS458789:DDS458842 CTW458789:CTW458842 CKA458789:CKA458842 CAE458789:CAE458842 BQI458789:BQI458842 BGM458789:BGM458842 AWQ458789:AWQ458842 AMU458789:AMU458842 ACY458789:ACY458842 TC458789:TC458842 JG458789:JG458842 K458789:K458842 WVS393253:WVS393306 WLW393253:WLW393306 WCA393253:WCA393306 VSE393253:VSE393306 VII393253:VII393306 UYM393253:UYM393306 UOQ393253:UOQ393306 UEU393253:UEU393306 TUY393253:TUY393306 TLC393253:TLC393306 TBG393253:TBG393306 SRK393253:SRK393306 SHO393253:SHO393306 RXS393253:RXS393306 RNW393253:RNW393306 REA393253:REA393306 QUE393253:QUE393306 QKI393253:QKI393306 QAM393253:QAM393306 PQQ393253:PQQ393306 PGU393253:PGU393306 OWY393253:OWY393306 ONC393253:ONC393306 ODG393253:ODG393306 NTK393253:NTK393306 NJO393253:NJO393306 MZS393253:MZS393306 MPW393253:MPW393306 MGA393253:MGA393306 LWE393253:LWE393306 LMI393253:LMI393306 LCM393253:LCM393306 KSQ393253:KSQ393306 KIU393253:KIU393306 JYY393253:JYY393306 JPC393253:JPC393306 JFG393253:JFG393306 IVK393253:IVK393306 ILO393253:ILO393306 IBS393253:IBS393306 HRW393253:HRW393306 HIA393253:HIA393306 GYE393253:GYE393306 GOI393253:GOI393306 GEM393253:GEM393306 FUQ393253:FUQ393306 FKU393253:FKU393306 FAY393253:FAY393306 ERC393253:ERC393306 EHG393253:EHG393306 DXK393253:DXK393306 DNO393253:DNO393306 DDS393253:DDS393306 CTW393253:CTW393306 CKA393253:CKA393306 CAE393253:CAE393306 BQI393253:BQI393306 BGM393253:BGM393306 AWQ393253:AWQ393306 AMU393253:AMU393306 ACY393253:ACY393306 TC393253:TC393306 JG393253:JG393306 K393253:K393306 WVS327717:WVS327770 WLW327717:WLW327770 WCA327717:WCA327770 VSE327717:VSE327770 VII327717:VII327770 UYM327717:UYM327770 UOQ327717:UOQ327770 UEU327717:UEU327770 TUY327717:TUY327770 TLC327717:TLC327770 TBG327717:TBG327770 SRK327717:SRK327770 SHO327717:SHO327770 RXS327717:RXS327770 RNW327717:RNW327770 REA327717:REA327770 QUE327717:QUE327770 QKI327717:QKI327770 QAM327717:QAM327770 PQQ327717:PQQ327770 PGU327717:PGU327770 OWY327717:OWY327770 ONC327717:ONC327770 ODG327717:ODG327770 NTK327717:NTK327770 NJO327717:NJO327770 MZS327717:MZS327770 MPW327717:MPW327770 MGA327717:MGA327770 LWE327717:LWE327770 LMI327717:LMI327770 LCM327717:LCM327770 KSQ327717:KSQ327770 KIU327717:KIU327770 JYY327717:JYY327770 JPC327717:JPC327770 JFG327717:JFG327770 IVK327717:IVK327770 ILO327717:ILO327770 IBS327717:IBS327770 HRW327717:HRW327770 HIA327717:HIA327770 GYE327717:GYE327770 GOI327717:GOI327770 GEM327717:GEM327770 FUQ327717:FUQ327770 FKU327717:FKU327770 FAY327717:FAY327770 ERC327717:ERC327770 EHG327717:EHG327770 DXK327717:DXK327770 DNO327717:DNO327770 DDS327717:DDS327770 CTW327717:CTW327770 CKA327717:CKA327770 CAE327717:CAE327770 BQI327717:BQI327770 BGM327717:BGM327770 AWQ327717:AWQ327770 AMU327717:AMU327770 ACY327717:ACY327770 TC327717:TC327770 JG327717:JG327770 K327717:K327770 WVS262181:WVS262234 WLW262181:WLW262234 WCA262181:WCA262234 VSE262181:VSE262234 VII262181:VII262234 UYM262181:UYM262234 UOQ262181:UOQ262234 UEU262181:UEU262234 TUY262181:TUY262234 TLC262181:TLC262234 TBG262181:TBG262234 SRK262181:SRK262234 SHO262181:SHO262234 RXS262181:RXS262234 RNW262181:RNW262234 REA262181:REA262234 QUE262181:QUE262234 QKI262181:QKI262234 QAM262181:QAM262234 PQQ262181:PQQ262234 PGU262181:PGU262234 OWY262181:OWY262234 ONC262181:ONC262234 ODG262181:ODG262234 NTK262181:NTK262234 NJO262181:NJO262234 MZS262181:MZS262234 MPW262181:MPW262234 MGA262181:MGA262234 LWE262181:LWE262234 LMI262181:LMI262234 LCM262181:LCM262234 KSQ262181:KSQ262234 KIU262181:KIU262234 JYY262181:JYY262234 JPC262181:JPC262234 JFG262181:JFG262234 IVK262181:IVK262234 ILO262181:ILO262234 IBS262181:IBS262234 HRW262181:HRW262234 HIA262181:HIA262234 GYE262181:GYE262234 GOI262181:GOI262234 GEM262181:GEM262234 FUQ262181:FUQ262234 FKU262181:FKU262234 FAY262181:FAY262234 ERC262181:ERC262234 EHG262181:EHG262234 DXK262181:DXK262234 DNO262181:DNO262234 DDS262181:DDS262234 CTW262181:CTW262234 CKA262181:CKA262234 CAE262181:CAE262234 BQI262181:BQI262234 BGM262181:BGM262234 AWQ262181:AWQ262234 AMU262181:AMU262234 ACY262181:ACY262234 TC262181:TC262234 JG262181:JG262234 K262181:K262234 WVS196645:WVS196698 WLW196645:WLW196698 WCA196645:WCA196698 VSE196645:VSE196698 VII196645:VII196698 UYM196645:UYM196698 UOQ196645:UOQ196698 UEU196645:UEU196698 TUY196645:TUY196698 TLC196645:TLC196698 TBG196645:TBG196698 SRK196645:SRK196698 SHO196645:SHO196698 RXS196645:RXS196698 RNW196645:RNW196698 REA196645:REA196698 QUE196645:QUE196698 QKI196645:QKI196698 QAM196645:QAM196698 PQQ196645:PQQ196698 PGU196645:PGU196698 OWY196645:OWY196698 ONC196645:ONC196698 ODG196645:ODG196698 NTK196645:NTK196698 NJO196645:NJO196698 MZS196645:MZS196698 MPW196645:MPW196698 MGA196645:MGA196698 LWE196645:LWE196698 LMI196645:LMI196698 LCM196645:LCM196698 KSQ196645:KSQ196698 KIU196645:KIU196698 JYY196645:JYY196698 JPC196645:JPC196698 JFG196645:JFG196698 IVK196645:IVK196698 ILO196645:ILO196698 IBS196645:IBS196698 HRW196645:HRW196698 HIA196645:HIA196698 GYE196645:GYE196698 GOI196645:GOI196698 GEM196645:GEM196698 FUQ196645:FUQ196698 FKU196645:FKU196698 FAY196645:FAY196698 ERC196645:ERC196698 EHG196645:EHG196698 DXK196645:DXK196698 DNO196645:DNO196698 DDS196645:DDS196698 CTW196645:CTW196698 CKA196645:CKA196698 CAE196645:CAE196698 BQI196645:BQI196698 BGM196645:BGM196698 AWQ196645:AWQ196698 AMU196645:AMU196698 ACY196645:ACY196698 TC196645:TC196698 JG196645:JG196698 K196645:K196698 WVS131109:WVS131162 WLW131109:WLW131162 WCA131109:WCA131162 VSE131109:VSE131162 VII131109:VII131162 UYM131109:UYM131162 UOQ131109:UOQ131162 UEU131109:UEU131162 TUY131109:TUY131162 TLC131109:TLC131162 TBG131109:TBG131162 SRK131109:SRK131162 SHO131109:SHO131162 RXS131109:RXS131162 RNW131109:RNW131162 REA131109:REA131162 QUE131109:QUE131162 QKI131109:QKI131162 QAM131109:QAM131162 PQQ131109:PQQ131162 PGU131109:PGU131162 OWY131109:OWY131162 ONC131109:ONC131162 ODG131109:ODG131162 NTK131109:NTK131162 NJO131109:NJO131162 MZS131109:MZS131162 MPW131109:MPW131162 MGA131109:MGA131162 LWE131109:LWE131162 LMI131109:LMI131162 LCM131109:LCM131162 KSQ131109:KSQ131162 KIU131109:KIU131162 JYY131109:JYY131162 JPC131109:JPC131162 JFG131109:JFG131162 IVK131109:IVK131162 ILO131109:ILO131162 IBS131109:IBS131162 HRW131109:HRW131162 HIA131109:HIA131162 GYE131109:GYE131162 GOI131109:GOI131162 GEM131109:GEM131162 FUQ131109:FUQ131162 FKU131109:FKU131162 FAY131109:FAY131162 ERC131109:ERC131162 EHG131109:EHG131162 DXK131109:DXK131162 DNO131109:DNO131162 DDS131109:DDS131162 CTW131109:CTW131162 CKA131109:CKA131162 CAE131109:CAE131162 BQI131109:BQI131162 BGM131109:BGM131162 AWQ131109:AWQ131162 AMU131109:AMU131162 ACY131109:ACY131162 TC131109:TC131162 JG131109:JG131162 K131109:K131162 WVS65573:WVS65626 WLW65573:WLW65626 WCA65573:WCA65626 VSE65573:VSE65626 VII65573:VII65626 UYM65573:UYM65626 UOQ65573:UOQ65626 UEU65573:UEU65626 TUY65573:TUY65626 TLC65573:TLC65626 TBG65573:TBG65626 SRK65573:SRK65626 SHO65573:SHO65626 RXS65573:RXS65626 RNW65573:RNW65626 REA65573:REA65626 QUE65573:QUE65626 QKI65573:QKI65626 QAM65573:QAM65626 PQQ65573:PQQ65626 PGU65573:PGU65626 OWY65573:OWY65626 ONC65573:ONC65626 ODG65573:ODG65626 NTK65573:NTK65626 NJO65573:NJO65626 MZS65573:MZS65626 MPW65573:MPW65626 MGA65573:MGA65626 LWE65573:LWE65626 LMI65573:LMI65626 LCM65573:LCM65626 KSQ65573:KSQ65626 KIU65573:KIU65626 JYY65573:JYY65626 JPC65573:JPC65626 JFG65573:JFG65626 IVK65573:IVK65626 ILO65573:ILO65626 IBS65573:IBS65626 HRW65573:HRW65626 HIA65573:HIA65626 GYE65573:GYE65626 GOI65573:GOI65626 GEM65573:GEM65626 FUQ65573:FUQ65626 FKU65573:FKU65626 FAY65573:FAY65626 ERC65573:ERC65626 EHG65573:EHG65626 DXK65573:DXK65626 DNO65573:DNO65626 DDS65573:DDS65626 CTW65573:CTW65626 CKA65573:CKA65626 CAE65573:CAE65626 BQI65573:BQI65626 BGM65573:BGM65626 AWQ65573:AWQ65626 AMU65573:AMU65626 ACY65573:ACY65626 TC65573:TC65626 JG65573:JG65626 K65573:K65626 WVS24:WVS78 WLW24:WLW78 WCA24:WCA78 VSE24:VSE78 VII24:VII78 UYM24:UYM78 UOQ24:UOQ78 UEU24:UEU78 TUY24:TUY78 TLC24:TLC78 TBG24:TBG78 SRK24:SRK78 SHO24:SHO78 RXS24:RXS78 RNW24:RNW78 REA24:REA78 QUE24:QUE78 QKI24:QKI78 QAM24:QAM78 PQQ24:PQQ78 PGU24:PGU78 OWY24:OWY78 ONC24:ONC78 ODG24:ODG78 NTK24:NTK78 NJO24:NJO78 MZS24:MZS78 MPW24:MPW78 MGA24:MGA78 LWE24:LWE78 LMI24:LMI78 LCM24:LCM78 KSQ24:KSQ78 KIU24:KIU78 JYY24:JYY78 JPC24:JPC78 JFG24:JFG78 IVK24:IVK78 ILO24:ILO78 IBS24:IBS78 HRW24:HRW78 HIA24:HIA78 GYE24:GYE78 GOI24:GOI78 GEM24:GEM78 FUQ24:FUQ78 FKU24:FKU78 FAY24:FAY78 ERC24:ERC78 EHG24:EHG78 DXK24:DXK78 DNO24:DNO78 DDS24:DDS78 CTW24:CTW78 CKA24:CKA78 CAE24:CAE78 BQI24:BQI78 BGM24:BGM78 AWQ24:AWQ78 AMU24:AMU78 ACY24:ACY78 TC24:TC78 JG24:JG78">
      <formula1>$B$194:$B$198</formula1>
    </dataValidation>
    <dataValidation type="list" allowBlank="1" showInputMessage="1" showErrorMessage="1" sqref="J83:J121 WVR983135:WVR983173 WLV983135:WLV983173 WBZ983135:WBZ983173 VSD983135:VSD983173 VIH983135:VIH983173 UYL983135:UYL983173 UOP983135:UOP983173 UET983135:UET983173 TUX983135:TUX983173 TLB983135:TLB983173 TBF983135:TBF983173 SRJ983135:SRJ983173 SHN983135:SHN983173 RXR983135:RXR983173 RNV983135:RNV983173 RDZ983135:RDZ983173 QUD983135:QUD983173 QKH983135:QKH983173 QAL983135:QAL983173 PQP983135:PQP983173 PGT983135:PGT983173 OWX983135:OWX983173 ONB983135:ONB983173 ODF983135:ODF983173 NTJ983135:NTJ983173 NJN983135:NJN983173 MZR983135:MZR983173 MPV983135:MPV983173 MFZ983135:MFZ983173 LWD983135:LWD983173 LMH983135:LMH983173 LCL983135:LCL983173 KSP983135:KSP983173 KIT983135:KIT983173 JYX983135:JYX983173 JPB983135:JPB983173 JFF983135:JFF983173 IVJ983135:IVJ983173 ILN983135:ILN983173 IBR983135:IBR983173 HRV983135:HRV983173 HHZ983135:HHZ983173 GYD983135:GYD983173 GOH983135:GOH983173 GEL983135:GEL983173 FUP983135:FUP983173 FKT983135:FKT983173 FAX983135:FAX983173 ERB983135:ERB983173 EHF983135:EHF983173 DXJ983135:DXJ983173 DNN983135:DNN983173 DDR983135:DDR983173 CTV983135:CTV983173 CJZ983135:CJZ983173 CAD983135:CAD983173 BQH983135:BQH983173 BGL983135:BGL983173 AWP983135:AWP983173 AMT983135:AMT983173 ACX983135:ACX983173 TB983135:TB983173 JF983135:JF983173 J983135:J983173 WVR917599:WVR917637 WLV917599:WLV917637 WBZ917599:WBZ917637 VSD917599:VSD917637 VIH917599:VIH917637 UYL917599:UYL917637 UOP917599:UOP917637 UET917599:UET917637 TUX917599:TUX917637 TLB917599:TLB917637 TBF917599:TBF917637 SRJ917599:SRJ917637 SHN917599:SHN917637 RXR917599:RXR917637 RNV917599:RNV917637 RDZ917599:RDZ917637 QUD917599:QUD917637 QKH917599:QKH917637 QAL917599:QAL917637 PQP917599:PQP917637 PGT917599:PGT917637 OWX917599:OWX917637 ONB917599:ONB917637 ODF917599:ODF917637 NTJ917599:NTJ917637 NJN917599:NJN917637 MZR917599:MZR917637 MPV917599:MPV917637 MFZ917599:MFZ917637 LWD917599:LWD917637 LMH917599:LMH917637 LCL917599:LCL917637 KSP917599:KSP917637 KIT917599:KIT917637 JYX917599:JYX917637 JPB917599:JPB917637 JFF917599:JFF917637 IVJ917599:IVJ917637 ILN917599:ILN917637 IBR917599:IBR917637 HRV917599:HRV917637 HHZ917599:HHZ917637 GYD917599:GYD917637 GOH917599:GOH917637 GEL917599:GEL917637 FUP917599:FUP917637 FKT917599:FKT917637 FAX917599:FAX917637 ERB917599:ERB917637 EHF917599:EHF917637 DXJ917599:DXJ917637 DNN917599:DNN917637 DDR917599:DDR917637 CTV917599:CTV917637 CJZ917599:CJZ917637 CAD917599:CAD917637 BQH917599:BQH917637 BGL917599:BGL917637 AWP917599:AWP917637 AMT917599:AMT917637 ACX917599:ACX917637 TB917599:TB917637 JF917599:JF917637 J917599:J917637 WVR852063:WVR852101 WLV852063:WLV852101 WBZ852063:WBZ852101 VSD852063:VSD852101 VIH852063:VIH852101 UYL852063:UYL852101 UOP852063:UOP852101 UET852063:UET852101 TUX852063:TUX852101 TLB852063:TLB852101 TBF852063:TBF852101 SRJ852063:SRJ852101 SHN852063:SHN852101 RXR852063:RXR852101 RNV852063:RNV852101 RDZ852063:RDZ852101 QUD852063:QUD852101 QKH852063:QKH852101 QAL852063:QAL852101 PQP852063:PQP852101 PGT852063:PGT852101 OWX852063:OWX852101 ONB852063:ONB852101 ODF852063:ODF852101 NTJ852063:NTJ852101 NJN852063:NJN852101 MZR852063:MZR852101 MPV852063:MPV852101 MFZ852063:MFZ852101 LWD852063:LWD852101 LMH852063:LMH852101 LCL852063:LCL852101 KSP852063:KSP852101 KIT852063:KIT852101 JYX852063:JYX852101 JPB852063:JPB852101 JFF852063:JFF852101 IVJ852063:IVJ852101 ILN852063:ILN852101 IBR852063:IBR852101 HRV852063:HRV852101 HHZ852063:HHZ852101 GYD852063:GYD852101 GOH852063:GOH852101 GEL852063:GEL852101 FUP852063:FUP852101 FKT852063:FKT852101 FAX852063:FAX852101 ERB852063:ERB852101 EHF852063:EHF852101 DXJ852063:DXJ852101 DNN852063:DNN852101 DDR852063:DDR852101 CTV852063:CTV852101 CJZ852063:CJZ852101 CAD852063:CAD852101 BQH852063:BQH852101 BGL852063:BGL852101 AWP852063:AWP852101 AMT852063:AMT852101 ACX852063:ACX852101 TB852063:TB852101 JF852063:JF852101 J852063:J852101 WVR786527:WVR786565 WLV786527:WLV786565 WBZ786527:WBZ786565 VSD786527:VSD786565 VIH786527:VIH786565 UYL786527:UYL786565 UOP786527:UOP786565 UET786527:UET786565 TUX786527:TUX786565 TLB786527:TLB786565 TBF786527:TBF786565 SRJ786527:SRJ786565 SHN786527:SHN786565 RXR786527:RXR786565 RNV786527:RNV786565 RDZ786527:RDZ786565 QUD786527:QUD786565 QKH786527:QKH786565 QAL786527:QAL786565 PQP786527:PQP786565 PGT786527:PGT786565 OWX786527:OWX786565 ONB786527:ONB786565 ODF786527:ODF786565 NTJ786527:NTJ786565 NJN786527:NJN786565 MZR786527:MZR786565 MPV786527:MPV786565 MFZ786527:MFZ786565 LWD786527:LWD786565 LMH786527:LMH786565 LCL786527:LCL786565 KSP786527:KSP786565 KIT786527:KIT786565 JYX786527:JYX786565 JPB786527:JPB786565 JFF786527:JFF786565 IVJ786527:IVJ786565 ILN786527:ILN786565 IBR786527:IBR786565 HRV786527:HRV786565 HHZ786527:HHZ786565 GYD786527:GYD786565 GOH786527:GOH786565 GEL786527:GEL786565 FUP786527:FUP786565 FKT786527:FKT786565 FAX786527:FAX786565 ERB786527:ERB786565 EHF786527:EHF786565 DXJ786527:DXJ786565 DNN786527:DNN786565 DDR786527:DDR786565 CTV786527:CTV786565 CJZ786527:CJZ786565 CAD786527:CAD786565 BQH786527:BQH786565 BGL786527:BGL786565 AWP786527:AWP786565 AMT786527:AMT786565 ACX786527:ACX786565 TB786527:TB786565 JF786527:JF786565 J786527:J786565 WVR720991:WVR721029 WLV720991:WLV721029 WBZ720991:WBZ721029 VSD720991:VSD721029 VIH720991:VIH721029 UYL720991:UYL721029 UOP720991:UOP721029 UET720991:UET721029 TUX720991:TUX721029 TLB720991:TLB721029 TBF720991:TBF721029 SRJ720991:SRJ721029 SHN720991:SHN721029 RXR720991:RXR721029 RNV720991:RNV721029 RDZ720991:RDZ721029 QUD720991:QUD721029 QKH720991:QKH721029 QAL720991:QAL721029 PQP720991:PQP721029 PGT720991:PGT721029 OWX720991:OWX721029 ONB720991:ONB721029 ODF720991:ODF721029 NTJ720991:NTJ721029 NJN720991:NJN721029 MZR720991:MZR721029 MPV720991:MPV721029 MFZ720991:MFZ721029 LWD720991:LWD721029 LMH720991:LMH721029 LCL720991:LCL721029 KSP720991:KSP721029 KIT720991:KIT721029 JYX720991:JYX721029 JPB720991:JPB721029 JFF720991:JFF721029 IVJ720991:IVJ721029 ILN720991:ILN721029 IBR720991:IBR721029 HRV720991:HRV721029 HHZ720991:HHZ721029 GYD720991:GYD721029 GOH720991:GOH721029 GEL720991:GEL721029 FUP720991:FUP721029 FKT720991:FKT721029 FAX720991:FAX721029 ERB720991:ERB721029 EHF720991:EHF721029 DXJ720991:DXJ721029 DNN720991:DNN721029 DDR720991:DDR721029 CTV720991:CTV721029 CJZ720991:CJZ721029 CAD720991:CAD721029 BQH720991:BQH721029 BGL720991:BGL721029 AWP720991:AWP721029 AMT720991:AMT721029 ACX720991:ACX721029 TB720991:TB721029 JF720991:JF721029 J720991:J721029 WVR655455:WVR655493 WLV655455:WLV655493 WBZ655455:WBZ655493 VSD655455:VSD655493 VIH655455:VIH655493 UYL655455:UYL655493 UOP655455:UOP655493 UET655455:UET655493 TUX655455:TUX655493 TLB655455:TLB655493 TBF655455:TBF655493 SRJ655455:SRJ655493 SHN655455:SHN655493 RXR655455:RXR655493 RNV655455:RNV655493 RDZ655455:RDZ655493 QUD655455:QUD655493 QKH655455:QKH655493 QAL655455:QAL655493 PQP655455:PQP655493 PGT655455:PGT655493 OWX655455:OWX655493 ONB655455:ONB655493 ODF655455:ODF655493 NTJ655455:NTJ655493 NJN655455:NJN655493 MZR655455:MZR655493 MPV655455:MPV655493 MFZ655455:MFZ655493 LWD655455:LWD655493 LMH655455:LMH655493 LCL655455:LCL655493 KSP655455:KSP655493 KIT655455:KIT655493 JYX655455:JYX655493 JPB655455:JPB655493 JFF655455:JFF655493 IVJ655455:IVJ655493 ILN655455:ILN655493 IBR655455:IBR655493 HRV655455:HRV655493 HHZ655455:HHZ655493 GYD655455:GYD655493 GOH655455:GOH655493 GEL655455:GEL655493 FUP655455:FUP655493 FKT655455:FKT655493 FAX655455:FAX655493 ERB655455:ERB655493 EHF655455:EHF655493 DXJ655455:DXJ655493 DNN655455:DNN655493 DDR655455:DDR655493 CTV655455:CTV655493 CJZ655455:CJZ655493 CAD655455:CAD655493 BQH655455:BQH655493 BGL655455:BGL655493 AWP655455:AWP655493 AMT655455:AMT655493 ACX655455:ACX655493 TB655455:TB655493 JF655455:JF655493 J655455:J655493 WVR589919:WVR589957 WLV589919:WLV589957 WBZ589919:WBZ589957 VSD589919:VSD589957 VIH589919:VIH589957 UYL589919:UYL589957 UOP589919:UOP589957 UET589919:UET589957 TUX589919:TUX589957 TLB589919:TLB589957 TBF589919:TBF589957 SRJ589919:SRJ589957 SHN589919:SHN589957 RXR589919:RXR589957 RNV589919:RNV589957 RDZ589919:RDZ589957 QUD589919:QUD589957 QKH589919:QKH589957 QAL589919:QAL589957 PQP589919:PQP589957 PGT589919:PGT589957 OWX589919:OWX589957 ONB589919:ONB589957 ODF589919:ODF589957 NTJ589919:NTJ589957 NJN589919:NJN589957 MZR589919:MZR589957 MPV589919:MPV589957 MFZ589919:MFZ589957 LWD589919:LWD589957 LMH589919:LMH589957 LCL589919:LCL589957 KSP589919:KSP589957 KIT589919:KIT589957 JYX589919:JYX589957 JPB589919:JPB589957 JFF589919:JFF589957 IVJ589919:IVJ589957 ILN589919:ILN589957 IBR589919:IBR589957 HRV589919:HRV589957 HHZ589919:HHZ589957 GYD589919:GYD589957 GOH589919:GOH589957 GEL589919:GEL589957 FUP589919:FUP589957 FKT589919:FKT589957 FAX589919:FAX589957 ERB589919:ERB589957 EHF589919:EHF589957 DXJ589919:DXJ589957 DNN589919:DNN589957 DDR589919:DDR589957 CTV589919:CTV589957 CJZ589919:CJZ589957 CAD589919:CAD589957 BQH589919:BQH589957 BGL589919:BGL589957 AWP589919:AWP589957 AMT589919:AMT589957 ACX589919:ACX589957 TB589919:TB589957 JF589919:JF589957 J589919:J589957 WVR524383:WVR524421 WLV524383:WLV524421 WBZ524383:WBZ524421 VSD524383:VSD524421 VIH524383:VIH524421 UYL524383:UYL524421 UOP524383:UOP524421 UET524383:UET524421 TUX524383:TUX524421 TLB524383:TLB524421 TBF524383:TBF524421 SRJ524383:SRJ524421 SHN524383:SHN524421 RXR524383:RXR524421 RNV524383:RNV524421 RDZ524383:RDZ524421 QUD524383:QUD524421 QKH524383:QKH524421 QAL524383:QAL524421 PQP524383:PQP524421 PGT524383:PGT524421 OWX524383:OWX524421 ONB524383:ONB524421 ODF524383:ODF524421 NTJ524383:NTJ524421 NJN524383:NJN524421 MZR524383:MZR524421 MPV524383:MPV524421 MFZ524383:MFZ524421 LWD524383:LWD524421 LMH524383:LMH524421 LCL524383:LCL524421 KSP524383:KSP524421 KIT524383:KIT524421 JYX524383:JYX524421 JPB524383:JPB524421 JFF524383:JFF524421 IVJ524383:IVJ524421 ILN524383:ILN524421 IBR524383:IBR524421 HRV524383:HRV524421 HHZ524383:HHZ524421 GYD524383:GYD524421 GOH524383:GOH524421 GEL524383:GEL524421 FUP524383:FUP524421 FKT524383:FKT524421 FAX524383:FAX524421 ERB524383:ERB524421 EHF524383:EHF524421 DXJ524383:DXJ524421 DNN524383:DNN524421 DDR524383:DDR524421 CTV524383:CTV524421 CJZ524383:CJZ524421 CAD524383:CAD524421 BQH524383:BQH524421 BGL524383:BGL524421 AWP524383:AWP524421 AMT524383:AMT524421 ACX524383:ACX524421 TB524383:TB524421 JF524383:JF524421 J524383:J524421 WVR458847:WVR458885 WLV458847:WLV458885 WBZ458847:WBZ458885 VSD458847:VSD458885 VIH458847:VIH458885 UYL458847:UYL458885 UOP458847:UOP458885 UET458847:UET458885 TUX458847:TUX458885 TLB458847:TLB458885 TBF458847:TBF458885 SRJ458847:SRJ458885 SHN458847:SHN458885 RXR458847:RXR458885 RNV458847:RNV458885 RDZ458847:RDZ458885 QUD458847:QUD458885 QKH458847:QKH458885 QAL458847:QAL458885 PQP458847:PQP458885 PGT458847:PGT458885 OWX458847:OWX458885 ONB458847:ONB458885 ODF458847:ODF458885 NTJ458847:NTJ458885 NJN458847:NJN458885 MZR458847:MZR458885 MPV458847:MPV458885 MFZ458847:MFZ458885 LWD458847:LWD458885 LMH458847:LMH458885 LCL458847:LCL458885 KSP458847:KSP458885 KIT458847:KIT458885 JYX458847:JYX458885 JPB458847:JPB458885 JFF458847:JFF458885 IVJ458847:IVJ458885 ILN458847:ILN458885 IBR458847:IBR458885 HRV458847:HRV458885 HHZ458847:HHZ458885 GYD458847:GYD458885 GOH458847:GOH458885 GEL458847:GEL458885 FUP458847:FUP458885 FKT458847:FKT458885 FAX458847:FAX458885 ERB458847:ERB458885 EHF458847:EHF458885 DXJ458847:DXJ458885 DNN458847:DNN458885 DDR458847:DDR458885 CTV458847:CTV458885 CJZ458847:CJZ458885 CAD458847:CAD458885 BQH458847:BQH458885 BGL458847:BGL458885 AWP458847:AWP458885 AMT458847:AMT458885 ACX458847:ACX458885 TB458847:TB458885 JF458847:JF458885 J458847:J458885 WVR393311:WVR393349 WLV393311:WLV393349 WBZ393311:WBZ393349 VSD393311:VSD393349 VIH393311:VIH393349 UYL393311:UYL393349 UOP393311:UOP393349 UET393311:UET393349 TUX393311:TUX393349 TLB393311:TLB393349 TBF393311:TBF393349 SRJ393311:SRJ393349 SHN393311:SHN393349 RXR393311:RXR393349 RNV393311:RNV393349 RDZ393311:RDZ393349 QUD393311:QUD393349 QKH393311:QKH393349 QAL393311:QAL393349 PQP393311:PQP393349 PGT393311:PGT393349 OWX393311:OWX393349 ONB393311:ONB393349 ODF393311:ODF393349 NTJ393311:NTJ393349 NJN393311:NJN393349 MZR393311:MZR393349 MPV393311:MPV393349 MFZ393311:MFZ393349 LWD393311:LWD393349 LMH393311:LMH393349 LCL393311:LCL393349 KSP393311:KSP393349 KIT393311:KIT393349 JYX393311:JYX393349 JPB393311:JPB393349 JFF393311:JFF393349 IVJ393311:IVJ393349 ILN393311:ILN393349 IBR393311:IBR393349 HRV393311:HRV393349 HHZ393311:HHZ393349 GYD393311:GYD393349 GOH393311:GOH393349 GEL393311:GEL393349 FUP393311:FUP393349 FKT393311:FKT393349 FAX393311:FAX393349 ERB393311:ERB393349 EHF393311:EHF393349 DXJ393311:DXJ393349 DNN393311:DNN393349 DDR393311:DDR393349 CTV393311:CTV393349 CJZ393311:CJZ393349 CAD393311:CAD393349 BQH393311:BQH393349 BGL393311:BGL393349 AWP393311:AWP393349 AMT393311:AMT393349 ACX393311:ACX393349 TB393311:TB393349 JF393311:JF393349 J393311:J393349 WVR327775:WVR327813 WLV327775:WLV327813 WBZ327775:WBZ327813 VSD327775:VSD327813 VIH327775:VIH327813 UYL327775:UYL327813 UOP327775:UOP327813 UET327775:UET327813 TUX327775:TUX327813 TLB327775:TLB327813 TBF327775:TBF327813 SRJ327775:SRJ327813 SHN327775:SHN327813 RXR327775:RXR327813 RNV327775:RNV327813 RDZ327775:RDZ327813 QUD327775:QUD327813 QKH327775:QKH327813 QAL327775:QAL327813 PQP327775:PQP327813 PGT327775:PGT327813 OWX327775:OWX327813 ONB327775:ONB327813 ODF327775:ODF327813 NTJ327775:NTJ327813 NJN327775:NJN327813 MZR327775:MZR327813 MPV327775:MPV327813 MFZ327775:MFZ327813 LWD327775:LWD327813 LMH327775:LMH327813 LCL327775:LCL327813 KSP327775:KSP327813 KIT327775:KIT327813 JYX327775:JYX327813 JPB327775:JPB327813 JFF327775:JFF327813 IVJ327775:IVJ327813 ILN327775:ILN327813 IBR327775:IBR327813 HRV327775:HRV327813 HHZ327775:HHZ327813 GYD327775:GYD327813 GOH327775:GOH327813 GEL327775:GEL327813 FUP327775:FUP327813 FKT327775:FKT327813 FAX327775:FAX327813 ERB327775:ERB327813 EHF327775:EHF327813 DXJ327775:DXJ327813 DNN327775:DNN327813 DDR327775:DDR327813 CTV327775:CTV327813 CJZ327775:CJZ327813 CAD327775:CAD327813 BQH327775:BQH327813 BGL327775:BGL327813 AWP327775:AWP327813 AMT327775:AMT327813 ACX327775:ACX327813 TB327775:TB327813 JF327775:JF327813 J327775:J327813 WVR262239:WVR262277 WLV262239:WLV262277 WBZ262239:WBZ262277 VSD262239:VSD262277 VIH262239:VIH262277 UYL262239:UYL262277 UOP262239:UOP262277 UET262239:UET262277 TUX262239:TUX262277 TLB262239:TLB262277 TBF262239:TBF262277 SRJ262239:SRJ262277 SHN262239:SHN262277 RXR262239:RXR262277 RNV262239:RNV262277 RDZ262239:RDZ262277 QUD262239:QUD262277 QKH262239:QKH262277 QAL262239:QAL262277 PQP262239:PQP262277 PGT262239:PGT262277 OWX262239:OWX262277 ONB262239:ONB262277 ODF262239:ODF262277 NTJ262239:NTJ262277 NJN262239:NJN262277 MZR262239:MZR262277 MPV262239:MPV262277 MFZ262239:MFZ262277 LWD262239:LWD262277 LMH262239:LMH262277 LCL262239:LCL262277 KSP262239:KSP262277 KIT262239:KIT262277 JYX262239:JYX262277 JPB262239:JPB262277 JFF262239:JFF262277 IVJ262239:IVJ262277 ILN262239:ILN262277 IBR262239:IBR262277 HRV262239:HRV262277 HHZ262239:HHZ262277 GYD262239:GYD262277 GOH262239:GOH262277 GEL262239:GEL262277 FUP262239:FUP262277 FKT262239:FKT262277 FAX262239:FAX262277 ERB262239:ERB262277 EHF262239:EHF262277 DXJ262239:DXJ262277 DNN262239:DNN262277 DDR262239:DDR262277 CTV262239:CTV262277 CJZ262239:CJZ262277 CAD262239:CAD262277 BQH262239:BQH262277 BGL262239:BGL262277 AWP262239:AWP262277 AMT262239:AMT262277 ACX262239:ACX262277 TB262239:TB262277 JF262239:JF262277 J262239:J262277 WVR196703:WVR196741 WLV196703:WLV196741 WBZ196703:WBZ196741 VSD196703:VSD196741 VIH196703:VIH196741 UYL196703:UYL196741 UOP196703:UOP196741 UET196703:UET196741 TUX196703:TUX196741 TLB196703:TLB196741 TBF196703:TBF196741 SRJ196703:SRJ196741 SHN196703:SHN196741 RXR196703:RXR196741 RNV196703:RNV196741 RDZ196703:RDZ196741 QUD196703:QUD196741 QKH196703:QKH196741 QAL196703:QAL196741 PQP196703:PQP196741 PGT196703:PGT196741 OWX196703:OWX196741 ONB196703:ONB196741 ODF196703:ODF196741 NTJ196703:NTJ196741 NJN196703:NJN196741 MZR196703:MZR196741 MPV196703:MPV196741 MFZ196703:MFZ196741 LWD196703:LWD196741 LMH196703:LMH196741 LCL196703:LCL196741 KSP196703:KSP196741 KIT196703:KIT196741 JYX196703:JYX196741 JPB196703:JPB196741 JFF196703:JFF196741 IVJ196703:IVJ196741 ILN196703:ILN196741 IBR196703:IBR196741 HRV196703:HRV196741 HHZ196703:HHZ196741 GYD196703:GYD196741 GOH196703:GOH196741 GEL196703:GEL196741 FUP196703:FUP196741 FKT196703:FKT196741 FAX196703:FAX196741 ERB196703:ERB196741 EHF196703:EHF196741 DXJ196703:DXJ196741 DNN196703:DNN196741 DDR196703:DDR196741 CTV196703:CTV196741 CJZ196703:CJZ196741 CAD196703:CAD196741 BQH196703:BQH196741 BGL196703:BGL196741 AWP196703:AWP196741 AMT196703:AMT196741 ACX196703:ACX196741 TB196703:TB196741 JF196703:JF196741 J196703:J196741 WVR131167:WVR131205 WLV131167:WLV131205 WBZ131167:WBZ131205 VSD131167:VSD131205 VIH131167:VIH131205 UYL131167:UYL131205 UOP131167:UOP131205 UET131167:UET131205 TUX131167:TUX131205 TLB131167:TLB131205 TBF131167:TBF131205 SRJ131167:SRJ131205 SHN131167:SHN131205 RXR131167:RXR131205 RNV131167:RNV131205 RDZ131167:RDZ131205 QUD131167:QUD131205 QKH131167:QKH131205 QAL131167:QAL131205 PQP131167:PQP131205 PGT131167:PGT131205 OWX131167:OWX131205 ONB131167:ONB131205 ODF131167:ODF131205 NTJ131167:NTJ131205 NJN131167:NJN131205 MZR131167:MZR131205 MPV131167:MPV131205 MFZ131167:MFZ131205 LWD131167:LWD131205 LMH131167:LMH131205 LCL131167:LCL131205 KSP131167:KSP131205 KIT131167:KIT131205 JYX131167:JYX131205 JPB131167:JPB131205 JFF131167:JFF131205 IVJ131167:IVJ131205 ILN131167:ILN131205 IBR131167:IBR131205 HRV131167:HRV131205 HHZ131167:HHZ131205 GYD131167:GYD131205 GOH131167:GOH131205 GEL131167:GEL131205 FUP131167:FUP131205 FKT131167:FKT131205 FAX131167:FAX131205 ERB131167:ERB131205 EHF131167:EHF131205 DXJ131167:DXJ131205 DNN131167:DNN131205 DDR131167:DDR131205 CTV131167:CTV131205 CJZ131167:CJZ131205 CAD131167:CAD131205 BQH131167:BQH131205 BGL131167:BGL131205 AWP131167:AWP131205 AMT131167:AMT131205 ACX131167:ACX131205 TB131167:TB131205 JF131167:JF131205 J131167:J131205 WVR65631:WVR65669 WLV65631:WLV65669 WBZ65631:WBZ65669 VSD65631:VSD65669 VIH65631:VIH65669 UYL65631:UYL65669 UOP65631:UOP65669 UET65631:UET65669 TUX65631:TUX65669 TLB65631:TLB65669 TBF65631:TBF65669 SRJ65631:SRJ65669 SHN65631:SHN65669 RXR65631:RXR65669 RNV65631:RNV65669 RDZ65631:RDZ65669 QUD65631:QUD65669 QKH65631:QKH65669 QAL65631:QAL65669 PQP65631:PQP65669 PGT65631:PGT65669 OWX65631:OWX65669 ONB65631:ONB65669 ODF65631:ODF65669 NTJ65631:NTJ65669 NJN65631:NJN65669 MZR65631:MZR65669 MPV65631:MPV65669 MFZ65631:MFZ65669 LWD65631:LWD65669 LMH65631:LMH65669 LCL65631:LCL65669 KSP65631:KSP65669 KIT65631:KIT65669 JYX65631:JYX65669 JPB65631:JPB65669 JFF65631:JFF65669 IVJ65631:IVJ65669 ILN65631:ILN65669 IBR65631:IBR65669 HRV65631:HRV65669 HHZ65631:HHZ65669 GYD65631:GYD65669 GOH65631:GOH65669 GEL65631:GEL65669 FUP65631:FUP65669 FKT65631:FKT65669 FAX65631:FAX65669 ERB65631:ERB65669 EHF65631:EHF65669 DXJ65631:DXJ65669 DNN65631:DNN65669 DDR65631:DDR65669 CTV65631:CTV65669 CJZ65631:CJZ65669 CAD65631:CAD65669 BQH65631:BQH65669 BGL65631:BGL65669 AWP65631:AWP65669 AMT65631:AMT65669 ACX65631:ACX65669 TB65631:TB65669 JF65631:JF65669 J65631:J65669 WVR83:WVR121 WLV83:WLV121 WBZ83:WBZ121 VSD83:VSD121 VIH83:VIH121 UYL83:UYL121 UOP83:UOP121 UET83:UET121 TUX83:TUX121 TLB83:TLB121 TBF83:TBF121 SRJ83:SRJ121 SHN83:SHN121 RXR83:RXR121 RNV83:RNV121 RDZ83:RDZ121 QUD83:QUD121 QKH83:QKH121 QAL83:QAL121 PQP83:PQP121 PGT83:PGT121 OWX83:OWX121 ONB83:ONB121 ODF83:ODF121 NTJ83:NTJ121 NJN83:NJN121 MZR83:MZR121 MPV83:MPV121 MFZ83:MFZ121 LWD83:LWD121 LMH83:LMH121 LCL83:LCL121 KSP83:KSP121 KIT83:KIT121 JYX83:JYX121 JPB83:JPB121 JFF83:JFF121 IVJ83:IVJ121 ILN83:ILN121 IBR83:IBR121 HRV83:HRV121 HHZ83:HHZ121 GYD83:GYD121 GOH83:GOH121 GEL83:GEL121 FUP83:FUP121 FKT83:FKT121 FAX83:FAX121 ERB83:ERB121 EHF83:EHF121 DXJ83:DXJ121 DNN83:DNN121 DDR83:DDR121 CTV83:CTV121 CJZ83:CJZ121 CAD83:CAD121 BQH83:BQH121 BGL83:BGL121 AWP83:AWP121 AMT83:AMT121 ACX83:ACX121 TB83:TB121 JF83:JF121">
      <formula1>$A$194:$A$198</formula1>
    </dataValidation>
    <dataValidation type="list" allowBlank="1" showInputMessage="1" showErrorMessage="1" sqref="J24:J78 WVR983077:WVR983130 WLV983077:WLV983130 WBZ983077:WBZ983130 VSD983077:VSD983130 VIH983077:VIH983130 UYL983077:UYL983130 UOP983077:UOP983130 UET983077:UET983130 TUX983077:TUX983130 TLB983077:TLB983130 TBF983077:TBF983130 SRJ983077:SRJ983130 SHN983077:SHN983130 RXR983077:RXR983130 RNV983077:RNV983130 RDZ983077:RDZ983130 QUD983077:QUD983130 QKH983077:QKH983130 QAL983077:QAL983130 PQP983077:PQP983130 PGT983077:PGT983130 OWX983077:OWX983130 ONB983077:ONB983130 ODF983077:ODF983130 NTJ983077:NTJ983130 NJN983077:NJN983130 MZR983077:MZR983130 MPV983077:MPV983130 MFZ983077:MFZ983130 LWD983077:LWD983130 LMH983077:LMH983130 LCL983077:LCL983130 KSP983077:KSP983130 KIT983077:KIT983130 JYX983077:JYX983130 JPB983077:JPB983130 JFF983077:JFF983130 IVJ983077:IVJ983130 ILN983077:ILN983130 IBR983077:IBR983130 HRV983077:HRV983130 HHZ983077:HHZ983130 GYD983077:GYD983130 GOH983077:GOH983130 GEL983077:GEL983130 FUP983077:FUP983130 FKT983077:FKT983130 FAX983077:FAX983130 ERB983077:ERB983130 EHF983077:EHF983130 DXJ983077:DXJ983130 DNN983077:DNN983130 DDR983077:DDR983130 CTV983077:CTV983130 CJZ983077:CJZ983130 CAD983077:CAD983130 BQH983077:BQH983130 BGL983077:BGL983130 AWP983077:AWP983130 AMT983077:AMT983130 ACX983077:ACX983130 TB983077:TB983130 JF983077:JF983130 J983077:J983130 WVR917541:WVR917594 WLV917541:WLV917594 WBZ917541:WBZ917594 VSD917541:VSD917594 VIH917541:VIH917594 UYL917541:UYL917594 UOP917541:UOP917594 UET917541:UET917594 TUX917541:TUX917594 TLB917541:TLB917594 TBF917541:TBF917594 SRJ917541:SRJ917594 SHN917541:SHN917594 RXR917541:RXR917594 RNV917541:RNV917594 RDZ917541:RDZ917594 QUD917541:QUD917594 QKH917541:QKH917594 QAL917541:QAL917594 PQP917541:PQP917594 PGT917541:PGT917594 OWX917541:OWX917594 ONB917541:ONB917594 ODF917541:ODF917594 NTJ917541:NTJ917594 NJN917541:NJN917594 MZR917541:MZR917594 MPV917541:MPV917594 MFZ917541:MFZ917594 LWD917541:LWD917594 LMH917541:LMH917594 LCL917541:LCL917594 KSP917541:KSP917594 KIT917541:KIT917594 JYX917541:JYX917594 JPB917541:JPB917594 JFF917541:JFF917594 IVJ917541:IVJ917594 ILN917541:ILN917594 IBR917541:IBR917594 HRV917541:HRV917594 HHZ917541:HHZ917594 GYD917541:GYD917594 GOH917541:GOH917594 GEL917541:GEL917594 FUP917541:FUP917594 FKT917541:FKT917594 FAX917541:FAX917594 ERB917541:ERB917594 EHF917541:EHF917594 DXJ917541:DXJ917594 DNN917541:DNN917594 DDR917541:DDR917594 CTV917541:CTV917594 CJZ917541:CJZ917594 CAD917541:CAD917594 BQH917541:BQH917594 BGL917541:BGL917594 AWP917541:AWP917594 AMT917541:AMT917594 ACX917541:ACX917594 TB917541:TB917594 JF917541:JF917594 J917541:J917594 WVR852005:WVR852058 WLV852005:WLV852058 WBZ852005:WBZ852058 VSD852005:VSD852058 VIH852005:VIH852058 UYL852005:UYL852058 UOP852005:UOP852058 UET852005:UET852058 TUX852005:TUX852058 TLB852005:TLB852058 TBF852005:TBF852058 SRJ852005:SRJ852058 SHN852005:SHN852058 RXR852005:RXR852058 RNV852005:RNV852058 RDZ852005:RDZ852058 QUD852005:QUD852058 QKH852005:QKH852058 QAL852005:QAL852058 PQP852005:PQP852058 PGT852005:PGT852058 OWX852005:OWX852058 ONB852005:ONB852058 ODF852005:ODF852058 NTJ852005:NTJ852058 NJN852005:NJN852058 MZR852005:MZR852058 MPV852005:MPV852058 MFZ852005:MFZ852058 LWD852005:LWD852058 LMH852005:LMH852058 LCL852005:LCL852058 KSP852005:KSP852058 KIT852005:KIT852058 JYX852005:JYX852058 JPB852005:JPB852058 JFF852005:JFF852058 IVJ852005:IVJ852058 ILN852005:ILN852058 IBR852005:IBR852058 HRV852005:HRV852058 HHZ852005:HHZ852058 GYD852005:GYD852058 GOH852005:GOH852058 GEL852005:GEL852058 FUP852005:FUP852058 FKT852005:FKT852058 FAX852005:FAX852058 ERB852005:ERB852058 EHF852005:EHF852058 DXJ852005:DXJ852058 DNN852005:DNN852058 DDR852005:DDR852058 CTV852005:CTV852058 CJZ852005:CJZ852058 CAD852005:CAD852058 BQH852005:BQH852058 BGL852005:BGL852058 AWP852005:AWP852058 AMT852005:AMT852058 ACX852005:ACX852058 TB852005:TB852058 JF852005:JF852058 J852005:J852058 WVR786469:WVR786522 WLV786469:WLV786522 WBZ786469:WBZ786522 VSD786469:VSD786522 VIH786469:VIH786522 UYL786469:UYL786522 UOP786469:UOP786522 UET786469:UET786522 TUX786469:TUX786522 TLB786469:TLB786522 TBF786469:TBF786522 SRJ786469:SRJ786522 SHN786469:SHN786522 RXR786469:RXR786522 RNV786469:RNV786522 RDZ786469:RDZ786522 QUD786469:QUD786522 QKH786469:QKH786522 QAL786469:QAL786522 PQP786469:PQP786522 PGT786469:PGT786522 OWX786469:OWX786522 ONB786469:ONB786522 ODF786469:ODF786522 NTJ786469:NTJ786522 NJN786469:NJN786522 MZR786469:MZR786522 MPV786469:MPV786522 MFZ786469:MFZ786522 LWD786469:LWD786522 LMH786469:LMH786522 LCL786469:LCL786522 KSP786469:KSP786522 KIT786469:KIT786522 JYX786469:JYX786522 JPB786469:JPB786522 JFF786469:JFF786522 IVJ786469:IVJ786522 ILN786469:ILN786522 IBR786469:IBR786522 HRV786469:HRV786522 HHZ786469:HHZ786522 GYD786469:GYD786522 GOH786469:GOH786522 GEL786469:GEL786522 FUP786469:FUP786522 FKT786469:FKT786522 FAX786469:FAX786522 ERB786469:ERB786522 EHF786469:EHF786522 DXJ786469:DXJ786522 DNN786469:DNN786522 DDR786469:DDR786522 CTV786469:CTV786522 CJZ786469:CJZ786522 CAD786469:CAD786522 BQH786469:BQH786522 BGL786469:BGL786522 AWP786469:AWP786522 AMT786469:AMT786522 ACX786469:ACX786522 TB786469:TB786522 JF786469:JF786522 J786469:J786522 WVR720933:WVR720986 WLV720933:WLV720986 WBZ720933:WBZ720986 VSD720933:VSD720986 VIH720933:VIH720986 UYL720933:UYL720986 UOP720933:UOP720986 UET720933:UET720986 TUX720933:TUX720986 TLB720933:TLB720986 TBF720933:TBF720986 SRJ720933:SRJ720986 SHN720933:SHN720986 RXR720933:RXR720986 RNV720933:RNV720986 RDZ720933:RDZ720986 QUD720933:QUD720986 QKH720933:QKH720986 QAL720933:QAL720986 PQP720933:PQP720986 PGT720933:PGT720986 OWX720933:OWX720986 ONB720933:ONB720986 ODF720933:ODF720986 NTJ720933:NTJ720986 NJN720933:NJN720986 MZR720933:MZR720986 MPV720933:MPV720986 MFZ720933:MFZ720986 LWD720933:LWD720986 LMH720933:LMH720986 LCL720933:LCL720986 KSP720933:KSP720986 KIT720933:KIT720986 JYX720933:JYX720986 JPB720933:JPB720986 JFF720933:JFF720986 IVJ720933:IVJ720986 ILN720933:ILN720986 IBR720933:IBR720986 HRV720933:HRV720986 HHZ720933:HHZ720986 GYD720933:GYD720986 GOH720933:GOH720986 GEL720933:GEL720986 FUP720933:FUP720986 FKT720933:FKT720986 FAX720933:FAX720986 ERB720933:ERB720986 EHF720933:EHF720986 DXJ720933:DXJ720986 DNN720933:DNN720986 DDR720933:DDR720986 CTV720933:CTV720986 CJZ720933:CJZ720986 CAD720933:CAD720986 BQH720933:BQH720986 BGL720933:BGL720986 AWP720933:AWP720986 AMT720933:AMT720986 ACX720933:ACX720986 TB720933:TB720986 JF720933:JF720986 J720933:J720986 WVR655397:WVR655450 WLV655397:WLV655450 WBZ655397:WBZ655450 VSD655397:VSD655450 VIH655397:VIH655450 UYL655397:UYL655450 UOP655397:UOP655450 UET655397:UET655450 TUX655397:TUX655450 TLB655397:TLB655450 TBF655397:TBF655450 SRJ655397:SRJ655450 SHN655397:SHN655450 RXR655397:RXR655450 RNV655397:RNV655450 RDZ655397:RDZ655450 QUD655397:QUD655450 QKH655397:QKH655450 QAL655397:QAL655450 PQP655397:PQP655450 PGT655397:PGT655450 OWX655397:OWX655450 ONB655397:ONB655450 ODF655397:ODF655450 NTJ655397:NTJ655450 NJN655397:NJN655450 MZR655397:MZR655450 MPV655397:MPV655450 MFZ655397:MFZ655450 LWD655397:LWD655450 LMH655397:LMH655450 LCL655397:LCL655450 KSP655397:KSP655450 KIT655397:KIT655450 JYX655397:JYX655450 JPB655397:JPB655450 JFF655397:JFF655450 IVJ655397:IVJ655450 ILN655397:ILN655450 IBR655397:IBR655450 HRV655397:HRV655450 HHZ655397:HHZ655450 GYD655397:GYD655450 GOH655397:GOH655450 GEL655397:GEL655450 FUP655397:FUP655450 FKT655397:FKT655450 FAX655397:FAX655450 ERB655397:ERB655450 EHF655397:EHF655450 DXJ655397:DXJ655450 DNN655397:DNN655450 DDR655397:DDR655450 CTV655397:CTV655450 CJZ655397:CJZ655450 CAD655397:CAD655450 BQH655397:BQH655450 BGL655397:BGL655450 AWP655397:AWP655450 AMT655397:AMT655450 ACX655397:ACX655450 TB655397:TB655450 JF655397:JF655450 J655397:J655450 WVR589861:WVR589914 WLV589861:WLV589914 WBZ589861:WBZ589914 VSD589861:VSD589914 VIH589861:VIH589914 UYL589861:UYL589914 UOP589861:UOP589914 UET589861:UET589914 TUX589861:TUX589914 TLB589861:TLB589914 TBF589861:TBF589914 SRJ589861:SRJ589914 SHN589861:SHN589914 RXR589861:RXR589914 RNV589861:RNV589914 RDZ589861:RDZ589914 QUD589861:QUD589914 QKH589861:QKH589914 QAL589861:QAL589914 PQP589861:PQP589914 PGT589861:PGT589914 OWX589861:OWX589914 ONB589861:ONB589914 ODF589861:ODF589914 NTJ589861:NTJ589914 NJN589861:NJN589914 MZR589861:MZR589914 MPV589861:MPV589914 MFZ589861:MFZ589914 LWD589861:LWD589914 LMH589861:LMH589914 LCL589861:LCL589914 KSP589861:KSP589914 KIT589861:KIT589914 JYX589861:JYX589914 JPB589861:JPB589914 JFF589861:JFF589914 IVJ589861:IVJ589914 ILN589861:ILN589914 IBR589861:IBR589914 HRV589861:HRV589914 HHZ589861:HHZ589914 GYD589861:GYD589914 GOH589861:GOH589914 GEL589861:GEL589914 FUP589861:FUP589914 FKT589861:FKT589914 FAX589861:FAX589914 ERB589861:ERB589914 EHF589861:EHF589914 DXJ589861:DXJ589914 DNN589861:DNN589914 DDR589861:DDR589914 CTV589861:CTV589914 CJZ589861:CJZ589914 CAD589861:CAD589914 BQH589861:BQH589914 BGL589861:BGL589914 AWP589861:AWP589914 AMT589861:AMT589914 ACX589861:ACX589914 TB589861:TB589914 JF589861:JF589914 J589861:J589914 WVR524325:WVR524378 WLV524325:WLV524378 WBZ524325:WBZ524378 VSD524325:VSD524378 VIH524325:VIH524378 UYL524325:UYL524378 UOP524325:UOP524378 UET524325:UET524378 TUX524325:TUX524378 TLB524325:TLB524378 TBF524325:TBF524378 SRJ524325:SRJ524378 SHN524325:SHN524378 RXR524325:RXR524378 RNV524325:RNV524378 RDZ524325:RDZ524378 QUD524325:QUD524378 QKH524325:QKH524378 QAL524325:QAL524378 PQP524325:PQP524378 PGT524325:PGT524378 OWX524325:OWX524378 ONB524325:ONB524378 ODF524325:ODF524378 NTJ524325:NTJ524378 NJN524325:NJN524378 MZR524325:MZR524378 MPV524325:MPV524378 MFZ524325:MFZ524378 LWD524325:LWD524378 LMH524325:LMH524378 LCL524325:LCL524378 KSP524325:KSP524378 KIT524325:KIT524378 JYX524325:JYX524378 JPB524325:JPB524378 JFF524325:JFF524378 IVJ524325:IVJ524378 ILN524325:ILN524378 IBR524325:IBR524378 HRV524325:HRV524378 HHZ524325:HHZ524378 GYD524325:GYD524378 GOH524325:GOH524378 GEL524325:GEL524378 FUP524325:FUP524378 FKT524325:FKT524378 FAX524325:FAX524378 ERB524325:ERB524378 EHF524325:EHF524378 DXJ524325:DXJ524378 DNN524325:DNN524378 DDR524325:DDR524378 CTV524325:CTV524378 CJZ524325:CJZ524378 CAD524325:CAD524378 BQH524325:BQH524378 BGL524325:BGL524378 AWP524325:AWP524378 AMT524325:AMT524378 ACX524325:ACX524378 TB524325:TB524378 JF524325:JF524378 J524325:J524378 WVR458789:WVR458842 WLV458789:WLV458842 WBZ458789:WBZ458842 VSD458789:VSD458842 VIH458789:VIH458842 UYL458789:UYL458842 UOP458789:UOP458842 UET458789:UET458842 TUX458789:TUX458842 TLB458789:TLB458842 TBF458789:TBF458842 SRJ458789:SRJ458842 SHN458789:SHN458842 RXR458789:RXR458842 RNV458789:RNV458842 RDZ458789:RDZ458842 QUD458789:QUD458842 QKH458789:QKH458842 QAL458789:QAL458842 PQP458789:PQP458842 PGT458789:PGT458842 OWX458789:OWX458842 ONB458789:ONB458842 ODF458789:ODF458842 NTJ458789:NTJ458842 NJN458789:NJN458842 MZR458789:MZR458842 MPV458789:MPV458842 MFZ458789:MFZ458842 LWD458789:LWD458842 LMH458789:LMH458842 LCL458789:LCL458842 KSP458789:KSP458842 KIT458789:KIT458842 JYX458789:JYX458842 JPB458789:JPB458842 JFF458789:JFF458842 IVJ458789:IVJ458842 ILN458789:ILN458842 IBR458789:IBR458842 HRV458789:HRV458842 HHZ458789:HHZ458842 GYD458789:GYD458842 GOH458789:GOH458842 GEL458789:GEL458842 FUP458789:FUP458842 FKT458789:FKT458842 FAX458789:FAX458842 ERB458789:ERB458842 EHF458789:EHF458842 DXJ458789:DXJ458842 DNN458789:DNN458842 DDR458789:DDR458842 CTV458789:CTV458842 CJZ458789:CJZ458842 CAD458789:CAD458842 BQH458789:BQH458842 BGL458789:BGL458842 AWP458789:AWP458842 AMT458789:AMT458842 ACX458789:ACX458842 TB458789:TB458842 JF458789:JF458842 J458789:J458842 WVR393253:WVR393306 WLV393253:WLV393306 WBZ393253:WBZ393306 VSD393253:VSD393306 VIH393253:VIH393306 UYL393253:UYL393306 UOP393253:UOP393306 UET393253:UET393306 TUX393253:TUX393306 TLB393253:TLB393306 TBF393253:TBF393306 SRJ393253:SRJ393306 SHN393253:SHN393306 RXR393253:RXR393306 RNV393253:RNV393306 RDZ393253:RDZ393306 QUD393253:QUD393306 QKH393253:QKH393306 QAL393253:QAL393306 PQP393253:PQP393306 PGT393253:PGT393306 OWX393253:OWX393306 ONB393253:ONB393306 ODF393253:ODF393306 NTJ393253:NTJ393306 NJN393253:NJN393306 MZR393253:MZR393306 MPV393253:MPV393306 MFZ393253:MFZ393306 LWD393253:LWD393306 LMH393253:LMH393306 LCL393253:LCL393306 KSP393253:KSP393306 KIT393253:KIT393306 JYX393253:JYX393306 JPB393253:JPB393306 JFF393253:JFF393306 IVJ393253:IVJ393306 ILN393253:ILN393306 IBR393253:IBR393306 HRV393253:HRV393306 HHZ393253:HHZ393306 GYD393253:GYD393306 GOH393253:GOH393306 GEL393253:GEL393306 FUP393253:FUP393306 FKT393253:FKT393306 FAX393253:FAX393306 ERB393253:ERB393306 EHF393253:EHF393306 DXJ393253:DXJ393306 DNN393253:DNN393306 DDR393253:DDR393306 CTV393253:CTV393306 CJZ393253:CJZ393306 CAD393253:CAD393306 BQH393253:BQH393306 BGL393253:BGL393306 AWP393253:AWP393306 AMT393253:AMT393306 ACX393253:ACX393306 TB393253:TB393306 JF393253:JF393306 J393253:J393306 WVR327717:WVR327770 WLV327717:WLV327770 WBZ327717:WBZ327770 VSD327717:VSD327770 VIH327717:VIH327770 UYL327717:UYL327770 UOP327717:UOP327770 UET327717:UET327770 TUX327717:TUX327770 TLB327717:TLB327770 TBF327717:TBF327770 SRJ327717:SRJ327770 SHN327717:SHN327770 RXR327717:RXR327770 RNV327717:RNV327770 RDZ327717:RDZ327770 QUD327717:QUD327770 QKH327717:QKH327770 QAL327717:QAL327770 PQP327717:PQP327770 PGT327717:PGT327770 OWX327717:OWX327770 ONB327717:ONB327770 ODF327717:ODF327770 NTJ327717:NTJ327770 NJN327717:NJN327770 MZR327717:MZR327770 MPV327717:MPV327770 MFZ327717:MFZ327770 LWD327717:LWD327770 LMH327717:LMH327770 LCL327717:LCL327770 KSP327717:KSP327770 KIT327717:KIT327770 JYX327717:JYX327770 JPB327717:JPB327770 JFF327717:JFF327770 IVJ327717:IVJ327770 ILN327717:ILN327770 IBR327717:IBR327770 HRV327717:HRV327770 HHZ327717:HHZ327770 GYD327717:GYD327770 GOH327717:GOH327770 GEL327717:GEL327770 FUP327717:FUP327770 FKT327717:FKT327770 FAX327717:FAX327770 ERB327717:ERB327770 EHF327717:EHF327770 DXJ327717:DXJ327770 DNN327717:DNN327770 DDR327717:DDR327770 CTV327717:CTV327770 CJZ327717:CJZ327770 CAD327717:CAD327770 BQH327717:BQH327770 BGL327717:BGL327770 AWP327717:AWP327770 AMT327717:AMT327770 ACX327717:ACX327770 TB327717:TB327770 JF327717:JF327770 J327717:J327770 WVR262181:WVR262234 WLV262181:WLV262234 WBZ262181:WBZ262234 VSD262181:VSD262234 VIH262181:VIH262234 UYL262181:UYL262234 UOP262181:UOP262234 UET262181:UET262234 TUX262181:TUX262234 TLB262181:TLB262234 TBF262181:TBF262234 SRJ262181:SRJ262234 SHN262181:SHN262234 RXR262181:RXR262234 RNV262181:RNV262234 RDZ262181:RDZ262234 QUD262181:QUD262234 QKH262181:QKH262234 QAL262181:QAL262234 PQP262181:PQP262234 PGT262181:PGT262234 OWX262181:OWX262234 ONB262181:ONB262234 ODF262181:ODF262234 NTJ262181:NTJ262234 NJN262181:NJN262234 MZR262181:MZR262234 MPV262181:MPV262234 MFZ262181:MFZ262234 LWD262181:LWD262234 LMH262181:LMH262234 LCL262181:LCL262234 KSP262181:KSP262234 KIT262181:KIT262234 JYX262181:JYX262234 JPB262181:JPB262234 JFF262181:JFF262234 IVJ262181:IVJ262234 ILN262181:ILN262234 IBR262181:IBR262234 HRV262181:HRV262234 HHZ262181:HHZ262234 GYD262181:GYD262234 GOH262181:GOH262234 GEL262181:GEL262234 FUP262181:FUP262234 FKT262181:FKT262234 FAX262181:FAX262234 ERB262181:ERB262234 EHF262181:EHF262234 DXJ262181:DXJ262234 DNN262181:DNN262234 DDR262181:DDR262234 CTV262181:CTV262234 CJZ262181:CJZ262234 CAD262181:CAD262234 BQH262181:BQH262234 BGL262181:BGL262234 AWP262181:AWP262234 AMT262181:AMT262234 ACX262181:ACX262234 TB262181:TB262234 JF262181:JF262234 J262181:J262234 WVR196645:WVR196698 WLV196645:WLV196698 WBZ196645:WBZ196698 VSD196645:VSD196698 VIH196645:VIH196698 UYL196645:UYL196698 UOP196645:UOP196698 UET196645:UET196698 TUX196645:TUX196698 TLB196645:TLB196698 TBF196645:TBF196698 SRJ196645:SRJ196698 SHN196645:SHN196698 RXR196645:RXR196698 RNV196645:RNV196698 RDZ196645:RDZ196698 QUD196645:QUD196698 QKH196645:QKH196698 QAL196645:QAL196698 PQP196645:PQP196698 PGT196645:PGT196698 OWX196645:OWX196698 ONB196645:ONB196698 ODF196645:ODF196698 NTJ196645:NTJ196698 NJN196645:NJN196698 MZR196645:MZR196698 MPV196645:MPV196698 MFZ196645:MFZ196698 LWD196645:LWD196698 LMH196645:LMH196698 LCL196645:LCL196698 KSP196645:KSP196698 KIT196645:KIT196698 JYX196645:JYX196698 JPB196645:JPB196698 JFF196645:JFF196698 IVJ196645:IVJ196698 ILN196645:ILN196698 IBR196645:IBR196698 HRV196645:HRV196698 HHZ196645:HHZ196698 GYD196645:GYD196698 GOH196645:GOH196698 GEL196645:GEL196698 FUP196645:FUP196698 FKT196645:FKT196698 FAX196645:FAX196698 ERB196645:ERB196698 EHF196645:EHF196698 DXJ196645:DXJ196698 DNN196645:DNN196698 DDR196645:DDR196698 CTV196645:CTV196698 CJZ196645:CJZ196698 CAD196645:CAD196698 BQH196645:BQH196698 BGL196645:BGL196698 AWP196645:AWP196698 AMT196645:AMT196698 ACX196645:ACX196698 TB196645:TB196698 JF196645:JF196698 J196645:J196698 WVR131109:WVR131162 WLV131109:WLV131162 WBZ131109:WBZ131162 VSD131109:VSD131162 VIH131109:VIH131162 UYL131109:UYL131162 UOP131109:UOP131162 UET131109:UET131162 TUX131109:TUX131162 TLB131109:TLB131162 TBF131109:TBF131162 SRJ131109:SRJ131162 SHN131109:SHN131162 RXR131109:RXR131162 RNV131109:RNV131162 RDZ131109:RDZ131162 QUD131109:QUD131162 QKH131109:QKH131162 QAL131109:QAL131162 PQP131109:PQP131162 PGT131109:PGT131162 OWX131109:OWX131162 ONB131109:ONB131162 ODF131109:ODF131162 NTJ131109:NTJ131162 NJN131109:NJN131162 MZR131109:MZR131162 MPV131109:MPV131162 MFZ131109:MFZ131162 LWD131109:LWD131162 LMH131109:LMH131162 LCL131109:LCL131162 KSP131109:KSP131162 KIT131109:KIT131162 JYX131109:JYX131162 JPB131109:JPB131162 JFF131109:JFF131162 IVJ131109:IVJ131162 ILN131109:ILN131162 IBR131109:IBR131162 HRV131109:HRV131162 HHZ131109:HHZ131162 GYD131109:GYD131162 GOH131109:GOH131162 GEL131109:GEL131162 FUP131109:FUP131162 FKT131109:FKT131162 FAX131109:FAX131162 ERB131109:ERB131162 EHF131109:EHF131162 DXJ131109:DXJ131162 DNN131109:DNN131162 DDR131109:DDR131162 CTV131109:CTV131162 CJZ131109:CJZ131162 CAD131109:CAD131162 BQH131109:BQH131162 BGL131109:BGL131162 AWP131109:AWP131162 AMT131109:AMT131162 ACX131109:ACX131162 TB131109:TB131162 JF131109:JF131162 J131109:J131162 WVR65573:WVR65626 WLV65573:WLV65626 WBZ65573:WBZ65626 VSD65573:VSD65626 VIH65573:VIH65626 UYL65573:UYL65626 UOP65573:UOP65626 UET65573:UET65626 TUX65573:TUX65626 TLB65573:TLB65626 TBF65573:TBF65626 SRJ65573:SRJ65626 SHN65573:SHN65626 RXR65573:RXR65626 RNV65573:RNV65626 RDZ65573:RDZ65626 QUD65573:QUD65626 QKH65573:QKH65626 QAL65573:QAL65626 PQP65573:PQP65626 PGT65573:PGT65626 OWX65573:OWX65626 ONB65573:ONB65626 ODF65573:ODF65626 NTJ65573:NTJ65626 NJN65573:NJN65626 MZR65573:MZR65626 MPV65573:MPV65626 MFZ65573:MFZ65626 LWD65573:LWD65626 LMH65573:LMH65626 LCL65573:LCL65626 KSP65573:KSP65626 KIT65573:KIT65626 JYX65573:JYX65626 JPB65573:JPB65626 JFF65573:JFF65626 IVJ65573:IVJ65626 ILN65573:ILN65626 IBR65573:IBR65626 HRV65573:HRV65626 HHZ65573:HHZ65626 GYD65573:GYD65626 GOH65573:GOH65626 GEL65573:GEL65626 FUP65573:FUP65626 FKT65573:FKT65626 FAX65573:FAX65626 ERB65573:ERB65626 EHF65573:EHF65626 DXJ65573:DXJ65626 DNN65573:DNN65626 DDR65573:DDR65626 CTV65573:CTV65626 CJZ65573:CJZ65626 CAD65573:CAD65626 BQH65573:BQH65626 BGL65573:BGL65626 AWP65573:AWP65626 AMT65573:AMT65626 ACX65573:ACX65626 TB65573:TB65626 JF65573:JF65626 J65573:J65626 WVR24:WVR78 WLV24:WLV78 WBZ24:WBZ78 VSD24:VSD78 VIH24:VIH78 UYL24:UYL78 UOP24:UOP78 UET24:UET78 TUX24:TUX78 TLB24:TLB78 TBF24:TBF78 SRJ24:SRJ78 SHN24:SHN78 RXR24:RXR78 RNV24:RNV78 RDZ24:RDZ78 QUD24:QUD78 QKH24:QKH78 QAL24:QAL78 PQP24:PQP78 PGT24:PGT78 OWX24:OWX78 ONB24:ONB78 ODF24:ODF78 NTJ24:NTJ78 NJN24:NJN78 MZR24:MZR78 MPV24:MPV78 MFZ24:MFZ78 LWD24:LWD78 LMH24:LMH78 LCL24:LCL78 KSP24:KSP78 KIT24:KIT78 JYX24:JYX78 JPB24:JPB78 JFF24:JFF78 IVJ24:IVJ78 ILN24:ILN78 IBR24:IBR78 HRV24:HRV78 HHZ24:HHZ78 GYD24:GYD78 GOH24:GOH78 GEL24:GEL78 FUP24:FUP78 FKT24:FKT78 FAX24:FAX78 ERB24:ERB78 EHF24:EHF78 DXJ24:DXJ78 DNN24:DNN78 DDR24:DDR78 CTV24:CTV78 CJZ24:CJZ78 CAD24:CAD78 BQH24:BQH78 BGL24:BGL78 AWP24:AWP78 AMT24:AMT78 ACX24:ACX78 TB24:TB78 JF24:JF78">
      <formula1>$A$195:$A$198</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LISTAS</vt:lpstr>
      <vt:lpstr>FENECIMIENTO CUENTA</vt:lpstr>
      <vt:lpstr>LISTAS PPTO</vt:lpstr>
      <vt:lpstr>FENECIMIENTO</vt:lpstr>
      <vt:lpstr>ANALÍTICA ESTADO SITUACIÓN F</vt:lpstr>
      <vt:lpstr>ANALÍTICA ESTADO DE RESULTAD</vt:lpstr>
      <vt:lpstr>MATERIALIDAD FINANCIERA</vt:lpstr>
      <vt:lpstr>HALLAZGOS OPINIÓN_FIN</vt:lpstr>
      <vt:lpstr>HALLAZGOS OPINIÓN_FIN Otros</vt:lpstr>
      <vt:lpstr>DESEMPEÑO FINANCIERO</vt:lpstr>
      <vt:lpstr>ANALÍTICA PRESUPUESTAL</vt:lpstr>
      <vt:lpstr>MATERIALIDAD PRESUPUESTAL</vt:lpstr>
      <vt:lpstr>HALLAZGOS CONCEPTO_PRES</vt:lpstr>
      <vt:lpstr>PLANES Y PROYECTOS</vt:lpstr>
      <vt:lpstr>PLAN ESTRATÉGICO</vt:lpstr>
      <vt:lpstr>ANALÍTICAS GASTO PÚBLICO</vt:lpstr>
      <vt:lpstr>MATERIALIDAD GASTO PÚBLICO</vt:lpstr>
      <vt:lpstr>CALIFICACIÓN GASTO PÚBLICO</vt:lpstr>
      <vt:lpstr>Lista consolidado macro</vt:lpstr>
      <vt:lpstr>_ECONOMIA_CONTRATACION</vt:lpstr>
      <vt:lpstr>_EFICACIA_CONTRATACION</vt:lpstr>
      <vt:lpstr>_EFICIENCIA_CONTRATACION</vt:lpstr>
      <vt:lpstr>Base</vt:lpstr>
      <vt:lpstr>'CALIFICACIÓN GASTO PÚBLICO'!HALLAZGOS</vt:lpstr>
      <vt:lpstr>Muestra_Min</vt:lpstr>
      <vt:lpstr>Parametro_Min</vt:lpstr>
      <vt:lpstr>ParaminAlta</vt:lpstr>
      <vt:lpstr>ParaminBaja</vt:lpstr>
      <vt:lpstr>ParaminMedia</vt:lpstr>
      <vt:lpstr>Riesgo</vt:lpstr>
      <vt:lpstr>ValorUniverso</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Martha Lucero Parra Ragua</cp:lastModifiedBy>
  <cp:revision/>
  <dcterms:created xsi:type="dcterms:W3CDTF">2020-11-17T20:47:08Z</dcterms:created>
  <dcterms:modified xsi:type="dcterms:W3CDTF">2025-02-26T16:21:32Z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98db72c4-b3f2-4c33-a4c4-bd4204b5bb3e</vt:lpwstr>
  </property>
</Properties>
</file>